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aalru\Google Drive\عاصم الرحيلي للاستشارات المالية 2\التدريب\الاستثمار الشهري وادارة الثروات\ملفات المتدربين\"/>
    </mc:Choice>
  </mc:AlternateContent>
  <xr:revisionPtr revIDLastSave="0" documentId="13_ncr:1_{362A639D-D15B-4517-8AF1-B80C0E5881F7}" xr6:coauthVersionLast="45" xr6:coauthVersionMax="45" xr10:uidLastSave="{00000000-0000-0000-0000-000000000000}"/>
  <bookViews>
    <workbookView xWindow="-110" yWindow="-110" windowWidth="19420" windowHeight="10420" tabRatio="825" firstSheet="1" activeTab="3" xr2:uid="{CF5195B9-1C98-4D99-86FA-E3762648EA5E}"/>
  </bookViews>
  <sheets>
    <sheet name="تنبيه" sheetId="10" r:id="rId1"/>
    <sheet name="اسئلة اختبار تقبل المخاطر" sheetId="1" r:id="rId2"/>
    <sheet name="قدرتك على تحمل المخاطر" sheetId="6" r:id="rId3"/>
    <sheet name="توزيع المحفظة المقترح" sheetId="12" r:id="rId4"/>
    <sheet name="العائد المتوقع للمحفظة" sheetId="7" r:id="rId5"/>
    <sheet name="نتائج الاستثمار الشهري" sheetId="9" r:id="rId6"/>
    <sheet name="تمرين الحرية المالية" sheetId="11" r:id="rId7"/>
    <sheet name="ETF" sheetId="13" r:id="rId8"/>
  </sheets>
  <definedNames>
    <definedName name="Rate">'نتائج الاستثمار الشهري'!$J$3</definedName>
    <definedName name="RY">'نتائج الاستثمار الشهري'!$J$3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3" l="1"/>
  <c r="J29" i="13" s="1"/>
  <c r="H28" i="13"/>
  <c r="J28" i="13" s="1"/>
  <c r="H27" i="13"/>
  <c r="J27" i="13" s="1"/>
  <c r="J23" i="13"/>
  <c r="H23" i="13"/>
  <c r="H22" i="13"/>
  <c r="J22" i="13" s="1"/>
  <c r="H18" i="13"/>
  <c r="J18" i="13" s="1"/>
  <c r="J17" i="13"/>
  <c r="H17" i="13"/>
  <c r="J16" i="13"/>
  <c r="H16" i="13"/>
  <c r="H15" i="13"/>
  <c r="J15" i="13" s="1"/>
  <c r="H14" i="13"/>
  <c r="J14" i="13" s="1"/>
  <c r="J9" i="13"/>
  <c r="H9" i="13"/>
  <c r="J8" i="13"/>
  <c r="H8" i="13"/>
  <c r="H7" i="13"/>
  <c r="J7" i="13" s="1"/>
  <c r="H6" i="13"/>
  <c r="J6" i="13" s="1"/>
  <c r="J5" i="13"/>
  <c r="H5" i="13"/>
  <c r="H3" i="11" l="1"/>
  <c r="D18" i="12" l="1"/>
  <c r="B18" i="12" s="1"/>
  <c r="D17" i="12"/>
  <c r="B17" i="12" s="1"/>
  <c r="Q16" i="12"/>
  <c r="Q15" i="12"/>
  <c r="Q14" i="12"/>
  <c r="Q13" i="12"/>
  <c r="D19" i="12" l="1"/>
  <c r="E19" i="12" s="1"/>
  <c r="B19" i="12"/>
  <c r="Q2" i="12"/>
  <c r="Q3" i="12"/>
  <c r="Q4" i="12"/>
  <c r="Q5" i="12"/>
  <c r="Q6" i="12"/>
  <c r="Q7" i="12"/>
  <c r="Q1" i="12"/>
  <c r="D5" i="12"/>
  <c r="B5" i="12" s="1"/>
  <c r="D6" i="12"/>
  <c r="B6" i="12" s="1"/>
  <c r="D7" i="12"/>
  <c r="B7" i="12" s="1"/>
  <c r="D8" i="12" l="1"/>
  <c r="E8" i="12" s="1"/>
  <c r="B8" i="12"/>
  <c r="F5" i="11"/>
  <c r="F10" i="11" l="1"/>
  <c r="F11" i="11" s="1"/>
  <c r="E9" i="9" l="1"/>
  <c r="E10" i="9"/>
  <c r="E11" i="9"/>
  <c r="E12" i="9"/>
  <c r="E13" i="9"/>
  <c r="E14" i="9"/>
  <c r="E8" i="9"/>
  <c r="G9" i="9"/>
  <c r="G10" i="9"/>
  <c r="G11" i="9"/>
  <c r="G12" i="9"/>
  <c r="G13" i="9"/>
  <c r="G14" i="9"/>
  <c r="G8" i="9"/>
  <c r="I11" i="9"/>
  <c r="I12" i="9"/>
  <c r="I13" i="9"/>
  <c r="I14" i="9"/>
  <c r="I9" i="9"/>
  <c r="I10" i="9"/>
  <c r="I8" i="9"/>
  <c r="K11" i="9"/>
  <c r="K12" i="9"/>
  <c r="K13" i="9"/>
  <c r="K14" i="9"/>
  <c r="K10" i="9"/>
  <c r="K9" i="9"/>
  <c r="K8" i="9"/>
  <c r="M12" i="9"/>
  <c r="M13" i="9"/>
  <c r="M14" i="9"/>
  <c r="M11" i="9"/>
  <c r="M10" i="9"/>
  <c r="M9" i="9"/>
  <c r="M8" i="9"/>
  <c r="O10" i="9"/>
  <c r="O11" i="9"/>
  <c r="O12" i="9"/>
  <c r="O13" i="9"/>
  <c r="O14" i="9"/>
  <c r="O9" i="9"/>
  <c r="O8" i="9"/>
  <c r="P14" i="9"/>
  <c r="N14" i="9"/>
  <c r="L14" i="9"/>
  <c r="J14" i="9"/>
  <c r="H14" i="9"/>
  <c r="F14" i="9"/>
  <c r="P13" i="9"/>
  <c r="N13" i="9"/>
  <c r="L13" i="9"/>
  <c r="J13" i="9"/>
  <c r="H13" i="9"/>
  <c r="F13" i="9"/>
  <c r="P12" i="9"/>
  <c r="N12" i="9"/>
  <c r="L12" i="9"/>
  <c r="J12" i="9"/>
  <c r="H12" i="9"/>
  <c r="F12" i="9"/>
  <c r="P11" i="9"/>
  <c r="N11" i="9"/>
  <c r="L11" i="9"/>
  <c r="J11" i="9"/>
  <c r="H11" i="9"/>
  <c r="F11" i="9"/>
  <c r="P10" i="9"/>
  <c r="N10" i="9"/>
  <c r="L10" i="9"/>
  <c r="J10" i="9"/>
  <c r="H10" i="9"/>
  <c r="F10" i="9"/>
  <c r="P9" i="9"/>
  <c r="N9" i="9"/>
  <c r="L9" i="9"/>
  <c r="J9" i="9"/>
  <c r="H9" i="9"/>
  <c r="F9" i="9"/>
  <c r="P8" i="9"/>
  <c r="N8" i="9"/>
  <c r="L8" i="9"/>
  <c r="J8" i="9"/>
  <c r="H8" i="9"/>
  <c r="F8" i="9"/>
  <c r="D9" i="7" l="1"/>
  <c r="D10" i="7"/>
  <c r="D11" i="7"/>
  <c r="F12" i="7"/>
  <c r="G12" i="7" s="1"/>
  <c r="D8" i="7"/>
  <c r="D7" i="7"/>
  <c r="D12" i="7" l="1"/>
  <c r="F20" i="1" l="1"/>
  <c r="F19" i="1"/>
  <c r="F18" i="1"/>
  <c r="F17" i="1"/>
  <c r="F16" i="1"/>
  <c r="F14" i="1"/>
  <c r="F13" i="1"/>
  <c r="F12" i="1"/>
  <c r="F11" i="1"/>
  <c r="F9" i="1"/>
  <c r="F22" i="1" l="1"/>
  <c r="G16" i="6" s="1"/>
  <c r="G17" i="6" s="1"/>
  <c r="F8" i="1"/>
  <c r="G3" i="6" s="1"/>
  <c r="G6" i="6"/>
  <c r="G7" i="6"/>
  <c r="G8" i="6"/>
  <c r="G9" i="6"/>
  <c r="G10" i="6"/>
  <c r="G11" i="6"/>
  <c r="G12" i="6"/>
  <c r="G13" i="6"/>
  <c r="G14" i="6"/>
  <c r="G15" i="6"/>
</calcChain>
</file>

<file path=xl/sharedStrings.xml><?xml version="1.0" encoding="utf-8"?>
<sst xmlns="http://schemas.openxmlformats.org/spreadsheetml/2006/main" count="214" uniqueCount="118">
  <si>
    <t>م.</t>
  </si>
  <si>
    <t xml:space="preserve">السؤال </t>
  </si>
  <si>
    <t>كم عمرك؟</t>
  </si>
  <si>
    <t>ماذا تتوقع أن تكون أكبر مصروفاتك / نفقاتك القادمة؟</t>
  </si>
  <si>
    <t>متى تتوقع أن تستخدم معظم الأموال التي تجمعها من خلال استثماراتك الآن؟</t>
  </si>
  <si>
    <t>شراء منزل</t>
  </si>
  <si>
    <t>تمويل مشروع جديد</t>
  </si>
  <si>
    <t>غالباً في المستقبل، خلال 2- 5 سنوات من الآن</t>
  </si>
  <si>
    <t>خلال 6- 10 سنوات من الآن</t>
  </si>
  <si>
    <t>خلال 11- 20 سنة أو أكثر من الآن</t>
  </si>
  <si>
    <t>يبقى نفس الشيء تقريباً</t>
  </si>
  <si>
    <t>يزداد بشكل معتدل</t>
  </si>
  <si>
    <t>ينقص بشكل معتدل</t>
  </si>
  <si>
    <t>خلال السنوات القادمة، تتوقع أن دخلك السنوي سوف:</t>
  </si>
  <si>
    <t>بسبب التصحيح السوقي العام، أحد استثماراتك خسر 14% من قيمته بعد فترة وجيزة من شارئك له، ماذا ستفعل؟</t>
  </si>
  <si>
    <t>يزداد بشكل ملحوظ</t>
  </si>
  <si>
    <t xml:space="preserve">ينقص بشكل ملحوظ </t>
  </si>
  <si>
    <t>A</t>
  </si>
  <si>
    <t>B</t>
  </si>
  <si>
    <t>C</t>
  </si>
  <si>
    <t>36- 54</t>
  </si>
  <si>
    <t>55 أو أكثر</t>
  </si>
  <si>
    <t>D</t>
  </si>
  <si>
    <t>E</t>
  </si>
  <si>
    <t xml:space="preserve"> الصبر، والانتظار حتى تعود قيمته للإرتفاع مجدداً </t>
  </si>
  <si>
    <t xml:space="preserve"> شراء المزيد من الاستثمارات المشابهة، لانه بالسعر الحالي المنخفض يبدو أفضل مما اشتريته سابقاً</t>
  </si>
  <si>
    <t>سند شركة راسخة تدفع معدل فائدة في مكان ما بين السندات الأخرى</t>
  </si>
  <si>
    <t xml:space="preserve">سندات معفاة من الضرائب، بما أن هدفك الاستثماري الأساسي هو تقليل الضرائب </t>
  </si>
  <si>
    <t>لنفرض أنك ستستثمر في سند واحد فقط، أي سند ستختار؟</t>
  </si>
  <si>
    <t xml:space="preserve">شركات قائمة ومعروفة ولديها القدرة على الاستمرار في النمو </t>
  </si>
  <si>
    <t>لنفرض أنك ستستثمر في الأسهم، اي من الآتي سوف تتختار؟</t>
  </si>
  <si>
    <t xml:space="preserve">شركات قد تحقق تقدماً تكنولوجياً كبيراً ولا زالت تبيع بسعر الطرح الأولي المنخفض </t>
  </si>
  <si>
    <t xml:space="preserve">تتجاهل النصيحة وتتمسك بالسندات </t>
  </si>
  <si>
    <t>عدد الأسئلة المجابة</t>
  </si>
  <si>
    <t>سؤال 1</t>
  </si>
  <si>
    <t>سؤال 2</t>
  </si>
  <si>
    <t>سؤال 3</t>
  </si>
  <si>
    <t>سؤال 4</t>
  </si>
  <si>
    <t>سؤال 5</t>
  </si>
  <si>
    <t>سؤال 6</t>
  </si>
  <si>
    <t>سؤال 7</t>
  </si>
  <si>
    <t>سؤال 8</t>
  </si>
  <si>
    <t>سؤال 9</t>
  </si>
  <si>
    <t>سؤال 10</t>
  </si>
  <si>
    <t>النتيجة النهائية</t>
  </si>
  <si>
    <t>الأسئلة</t>
  </si>
  <si>
    <t>النتيجة</t>
  </si>
  <si>
    <t>ستختار أقصى قدر من التنوع مقسماً محفظتك الاستثمارية على كل الاستثمارات المتاحة، والتي تتباين ما بين استثمارات بأكبر عائدات وأعلى خطورة، واستثمارات بأقل عائدات وأقل خطورة</t>
  </si>
  <si>
    <t xml:space="preserve">ستقلق من فكرة التنوع الكبير، لذلك ستقسم محفظتك الاستثمارية ما بين استثمارين بمعدلات عوائد عالية تاريخياً ومخاطر معتدلة </t>
  </si>
  <si>
    <t>الدفع للتعليم الجامعي</t>
  </si>
  <si>
    <t>مجموع النقاط</t>
  </si>
  <si>
    <t>تقييم المخاطرة لديك</t>
  </si>
  <si>
    <t xml:space="preserve">الإجابة </t>
  </si>
  <si>
    <t xml:space="preserve">السندات ذات العائد المرتفع (الغير مرغوب) التي يترتب عليها معدل فائدة أعلى من السندات الأخرى، ولكنها تمنحك أيضاً احساساً أقل بالأمان فيما يتعلق بالتخلف عن السداد </t>
  </si>
  <si>
    <t xml:space="preserve">35 أو أقل </t>
  </si>
  <si>
    <t xml:space="preserve"> بيع الاستثمار، وبالتالي لن تضطر للقلق من استمرار هبوط قيمته</t>
  </si>
  <si>
    <t>استثمار المدخرات لفترة ما بعد التقاعد</t>
  </si>
  <si>
    <t>في أي وقت من الآن، لذلك السيولة مهمة</t>
  </si>
  <si>
    <t>أي من هذه الخطط الاستثمارية ستختار لمحفظتك الاستثمارية؟</t>
  </si>
  <si>
    <t>لقد وصلت للتو إلى نقطة الـ 10,000 ريال في برنامج تلفزيوني. الآن يجب أن تختار بين الاستسلام و 10,000 ريال  في متناول يدك أو المراهنة على الـ 10,000 ريال بالكامل في أحد السيناريوهات الثلاثة البديلة التالية. أيهما تختار؟</t>
  </si>
  <si>
    <t>تأخذ الـ 10,000 ريال وتذهب بعيداً</t>
  </si>
  <si>
    <t>احتمال 50% أن تفوز بـ 50,000 ريال</t>
  </si>
  <si>
    <t>احتمال 20% أن تفوز بـ 75,000 ريال</t>
  </si>
  <si>
    <t>احتمال 5% أن تفوز بـ 100,000 ريال</t>
  </si>
  <si>
    <t xml:space="preserve">ستضع ريالاتك في استثمار بأعلى معدل عائدات وأكبر خطورة </t>
  </si>
  <si>
    <t>الأسهم الممتازة</t>
  </si>
  <si>
    <t>بيع السندات ووضع العائدات في "السلع" واقتراض أموال إضافية حتى تتمكن من شراء المزيد من "السلع"</t>
  </si>
  <si>
    <t>أنت تتوقع عودة التضخم وقد اقترح عليك أن تستثمر في "السلع"، والتي سبق أن تجاوزت التضخم تاريخياً. أصولك المالية الوحيدة هي سندات طويلة الأجل. ماذا ستفعل؟</t>
  </si>
  <si>
    <t>بيع السندات ووضع العائدات في "السلع"</t>
  </si>
  <si>
    <t>بيع السندات ووضع نصف العائدات في "السلع" والنصف الآخر في صناديق سوق المال</t>
  </si>
  <si>
    <t>العائد الموزون</t>
  </si>
  <si>
    <t>العائد السنوي المتوقع</t>
  </si>
  <si>
    <t>نسبة التوزيع</t>
  </si>
  <si>
    <t>نوع الأصل</t>
  </si>
  <si>
    <t>العائد الكلي المتوقع للمحفظة</t>
  </si>
  <si>
    <t>30 سنة</t>
  </si>
  <si>
    <t>25 سنة</t>
  </si>
  <si>
    <t>20 سنة</t>
  </si>
  <si>
    <t>15 سنة</t>
  </si>
  <si>
    <t>10 سنوات</t>
  </si>
  <si>
    <t>5 سنوات</t>
  </si>
  <si>
    <t>الاستثمار الشهري</t>
  </si>
  <si>
    <t>المدخرات + الارباح</t>
  </si>
  <si>
    <t>المدخرات</t>
  </si>
  <si>
    <t>العائد السنوي</t>
  </si>
  <si>
    <t>هذا الملف لاستخدامك الشخصي فقط وليس للنشر او لاستخدامه لأغراض تجارية</t>
  </si>
  <si>
    <t>مرابحة</t>
  </si>
  <si>
    <t>اسهم</t>
  </si>
  <si>
    <t>صكوك</t>
  </si>
  <si>
    <t>الدخل الشهري الإضافي بعد التقاعد</t>
  </si>
  <si>
    <t>عدد السنوات المتبقية للتقاعد</t>
  </si>
  <si>
    <t>القيمة المستقبلية</t>
  </si>
  <si>
    <t>القيمة الحالية للمدخرات</t>
  </si>
  <si>
    <t>نسبة العائد السنوي</t>
  </si>
  <si>
    <t>مبلغ الادخار</t>
  </si>
  <si>
    <t>اجمالي مدخراتك بدون استثمار</t>
  </si>
  <si>
    <t>حذر بشدة</t>
  </si>
  <si>
    <t>حذر</t>
  </si>
  <si>
    <t>متحفظ</t>
  </si>
  <si>
    <t>معتدل</t>
  </si>
  <si>
    <t>مندفع باعتدال</t>
  </si>
  <si>
    <t>مندفع</t>
  </si>
  <si>
    <t>مندفع بشدة</t>
  </si>
  <si>
    <t>اختر من هنا</t>
  </si>
  <si>
    <t>محفظة طويلة الاجل
توزيع مقترح</t>
  </si>
  <si>
    <t>محفظة قصيرة الاجل
توزيع مقترح</t>
  </si>
  <si>
    <t>ETF</t>
  </si>
  <si>
    <t>من تاريخ</t>
  </si>
  <si>
    <t>الى تاريخ</t>
  </si>
  <si>
    <t>عدد السنوات</t>
  </si>
  <si>
    <t>استثماري شهري</t>
  </si>
  <si>
    <t>اجمالي المدخرات</t>
  </si>
  <si>
    <t>القيمة النهائية</t>
  </si>
  <si>
    <t>العائد الكلي</t>
  </si>
  <si>
    <t>Spy</t>
  </si>
  <si>
    <t>URTH</t>
  </si>
  <si>
    <t>5/13/2015.</t>
  </si>
  <si>
    <t>GLD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</si>
</sst>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00"/>
    <numFmt numFmtId="165" formatCode="_(* #,##0_);_(* \(#,##0\);_(* &quot;-&quot;??_);_(@_)"/>
    <numFmt numFmtId="166" formatCode="_-* #,##0_-;\-* #,##0_-;_-* &quot;-&quot;??_-;_-@"/>
    <numFmt numFmtId="167" formatCode="&quot;SAR&quot;#,##0.00;[Red]\-&quot;SAR&quot;#,##0.00"/>
  </numFmts>
  <fonts count="28">
    <font>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sz val="8"/>
      <name val="Calibri"/>
      <family val="2"/>
      <scheme val="minor"/>
    </font>
    <font>
      <sz val="16"/>
      <color theme="1"/>
      <name val="Calibri"/>
      <family val="2"/>
      <scheme val="minor"/>
    </font>
    <font>
      <sz val="16"/>
      <color rgb="FFFF0000"/>
      <name val="Calibri"/>
      <family val="2"/>
      <scheme val="minor"/>
    </font>
    <font>
      <b/>
      <sz val="14"/>
      <color theme="1"/>
      <name val="Calibri"/>
      <family val="2"/>
      <scheme val="minor"/>
    </font>
    <font>
      <sz val="18"/>
      <color theme="1"/>
      <name val="Calibri"/>
      <family val="2"/>
      <scheme val="minor"/>
    </font>
    <font>
      <b/>
      <sz val="11"/>
      <color rgb="FF3F3F3F"/>
      <name val="Calibri"/>
      <family val="2"/>
      <scheme val="minor"/>
    </font>
    <font>
      <sz val="11"/>
      <color rgb="FFFF0000"/>
      <name val="Calibri"/>
      <family val="2"/>
      <scheme val="minor"/>
    </font>
    <font>
      <sz val="16"/>
      <color theme="0"/>
      <name val="Calibri"/>
      <family val="2"/>
      <scheme val="minor"/>
    </font>
    <font>
      <b/>
      <sz val="16"/>
      <color rgb="FF3F3F3F"/>
      <name val="Calibri"/>
      <family val="2"/>
      <scheme val="minor"/>
    </font>
    <font>
      <sz val="18"/>
      <color theme="0"/>
      <name val="Calibri"/>
      <family val="2"/>
      <scheme val="minor"/>
    </font>
    <font>
      <sz val="36"/>
      <color theme="1"/>
      <name val="Calibri"/>
      <family val="2"/>
      <scheme val="minor"/>
    </font>
    <font>
      <b/>
      <sz val="24"/>
      <color rgb="FFFF0000"/>
      <name val="Calibri"/>
      <family val="2"/>
      <scheme val="minor"/>
    </font>
    <font>
      <sz val="12"/>
      <color rgb="FF000000"/>
      <name val="Cairo"/>
    </font>
    <font>
      <sz val="12"/>
      <color rgb="FF2F5496"/>
      <name val="Cairo"/>
    </font>
    <font>
      <sz val="12"/>
      <color rgb="FFEC5752"/>
      <name val="Cairo"/>
    </font>
    <font>
      <sz val="12"/>
      <color rgb="FF3F3F76"/>
      <name val="Cairo"/>
    </font>
    <font>
      <sz val="12"/>
      <color theme="1"/>
      <name val="Cairo"/>
    </font>
    <font>
      <b/>
      <sz val="12"/>
      <color rgb="FFEC5752"/>
      <name val="Cairo"/>
    </font>
    <font>
      <b/>
      <sz val="12"/>
      <color rgb="FF3F3F76"/>
      <name val="Cairo"/>
    </font>
    <font>
      <b/>
      <sz val="16"/>
      <color theme="4" tint="-0.499984740745262"/>
      <name val="Calibri"/>
      <family val="2"/>
      <scheme val="minor"/>
    </font>
    <font>
      <b/>
      <sz val="11"/>
      <color rgb="FFFF0000"/>
      <name val="Calibri"/>
      <family val="2"/>
      <scheme val="minor"/>
    </font>
    <font>
      <b/>
      <sz val="16"/>
      <color theme="1"/>
      <name val="Calibri"/>
      <family val="2"/>
      <scheme val="minor"/>
    </font>
    <font>
      <b/>
      <sz val="16"/>
      <color theme="9" tint="-0.499984740745262"/>
      <name val="Calibri"/>
      <family val="2"/>
      <scheme val="minor"/>
    </font>
  </fonts>
  <fills count="19">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2F2F2"/>
      </patternFill>
    </fill>
    <fill>
      <patternFill patternType="solid">
        <fgColor theme="4"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EC5752"/>
        <bgColor rgb="FFEC5752"/>
      </patternFill>
    </fill>
    <fill>
      <patternFill patternType="solid">
        <fgColor rgb="FFFFFFFF"/>
        <bgColor rgb="FFFFFFFF"/>
      </patternFill>
    </fill>
    <fill>
      <patternFill patternType="solid">
        <fgColor rgb="FFD9D9D9"/>
        <bgColor rgb="FFD9D9D9"/>
      </patternFill>
    </fill>
    <fill>
      <patternFill patternType="solid">
        <fgColor rgb="FF2F5496"/>
        <bgColor rgb="FF2F5496"/>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rgb="FFEC5752"/>
      </left>
      <right style="thin">
        <color rgb="FFEC5752"/>
      </right>
      <top style="thin">
        <color rgb="FFEC5752"/>
      </top>
      <bottom style="thin">
        <color rgb="FFEC5752"/>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s>
  <cellStyleXfs count="4">
    <xf numFmtId="0" fontId="0" fillId="0" borderId="0"/>
    <xf numFmtId="9" fontId="1" fillId="0" borderId="0" applyFont="0" applyFill="0" applyBorder="0" applyAlignment="0" applyProtection="0"/>
    <xf numFmtId="0" fontId="10" fillId="9" borderId="34" applyNumberFormat="0" applyAlignment="0" applyProtection="0"/>
    <xf numFmtId="43" fontId="1" fillId="0" borderId="0" applyFont="0" applyFill="0" applyBorder="0" applyAlignment="0" applyProtection="0"/>
  </cellStyleXfs>
  <cellXfs count="134">
    <xf numFmtId="0" fontId="0" fillId="0" borderId="0" xfId="0"/>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4" borderId="4" xfId="0" applyFont="1" applyFill="1" applyBorder="1" applyAlignment="1">
      <alignment vertical="center"/>
    </xf>
    <xf numFmtId="0" fontId="4" fillId="4" borderId="6" xfId="0" applyFont="1" applyFill="1" applyBorder="1" applyAlignment="1">
      <alignment vertical="center"/>
    </xf>
    <xf numFmtId="9" fontId="0" fillId="2" borderId="7" xfId="1" applyFont="1" applyFill="1" applyBorder="1" applyAlignment="1">
      <alignment vertical="center"/>
    </xf>
    <xf numFmtId="0" fontId="0" fillId="0" borderId="8" xfId="0" applyBorder="1" applyAlignment="1">
      <alignment horizontal="center" vertical="center"/>
    </xf>
    <xf numFmtId="0" fontId="0" fillId="0" borderId="0" xfId="0" applyFill="1"/>
    <xf numFmtId="0" fontId="0" fillId="0" borderId="0" xfId="0" applyProtection="1"/>
    <xf numFmtId="0" fontId="0" fillId="0" borderId="10"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0" xfId="0" applyBorder="1" applyProtection="1"/>
    <xf numFmtId="0" fontId="0" fillId="0" borderId="16" xfId="0" applyBorder="1" applyProtection="1"/>
    <xf numFmtId="0" fontId="3" fillId="0" borderId="0" xfId="0" applyFont="1" applyAlignment="1" applyProtection="1">
      <alignment horizontal="center" vertical="center"/>
    </xf>
    <xf numFmtId="0" fontId="0" fillId="0" borderId="11" xfId="0" applyBorder="1" applyProtection="1"/>
    <xf numFmtId="0" fontId="0" fillId="0" borderId="17" xfId="0" applyBorder="1" applyProtection="1"/>
    <xf numFmtId="0" fontId="3" fillId="0" borderId="17" xfId="0" applyFont="1" applyBorder="1" applyProtection="1"/>
    <xf numFmtId="0" fontId="0" fillId="0" borderId="18" xfId="0" applyBorder="1" applyProtection="1"/>
    <xf numFmtId="0" fontId="3" fillId="6" borderId="4" xfId="0" applyFont="1" applyFill="1" applyBorder="1" applyAlignment="1" applyProtection="1">
      <alignment horizontal="center" vertical="center"/>
    </xf>
    <xf numFmtId="0" fontId="3" fillId="6" borderId="6" xfId="0" applyFont="1" applyFill="1" applyBorder="1" applyAlignment="1" applyProtection="1">
      <alignment horizontal="center" vertical="center"/>
    </xf>
    <xf numFmtId="9" fontId="7" fillId="0" borderId="7" xfId="0" applyNumberFormat="1" applyFont="1" applyBorder="1" applyAlignment="1" applyProtection="1">
      <alignment horizontal="center" vertical="center"/>
    </xf>
    <xf numFmtId="0" fontId="2" fillId="0" borderId="16" xfId="0" applyFont="1" applyBorder="1" applyAlignment="1">
      <alignment horizontal="right" vertical="center" readingOrder="2"/>
    </xf>
    <xf numFmtId="0" fontId="2" fillId="0" borderId="16" xfId="0" applyFont="1" applyBorder="1" applyAlignment="1">
      <alignment horizontal="right" vertical="center" wrapText="1"/>
    </xf>
    <xf numFmtId="0" fontId="2" fillId="0" borderId="18" xfId="0" applyFont="1" applyBorder="1" applyAlignment="1">
      <alignment horizontal="right" vertical="center"/>
    </xf>
    <xf numFmtId="0" fontId="2" fillId="0" borderId="16" xfId="0" applyFont="1" applyBorder="1" applyAlignment="1">
      <alignment horizontal="right" vertical="center"/>
    </xf>
    <xf numFmtId="0" fontId="3" fillId="7" borderId="2" xfId="0" applyFont="1" applyFill="1" applyBorder="1" applyAlignment="1">
      <alignment horizontal="right" vertical="center"/>
    </xf>
    <xf numFmtId="0" fontId="3" fillId="7" borderId="2" xfId="0" applyFont="1" applyFill="1" applyBorder="1" applyAlignment="1">
      <alignment horizontal="right" vertical="center" wrapText="1" readingOrder="2"/>
    </xf>
    <xf numFmtId="0" fontId="3" fillId="7" borderId="2" xfId="0" applyFont="1" applyFill="1" applyBorder="1" applyAlignment="1">
      <alignment horizontal="right" vertical="center" wrapText="1"/>
    </xf>
    <xf numFmtId="0" fontId="8" fillId="0" borderId="2" xfId="0" applyFont="1" applyBorder="1" applyAlignment="1">
      <alignment horizontal="center" vertical="center"/>
    </xf>
    <xf numFmtId="0" fontId="4" fillId="0" borderId="19"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5" xfId="1" applyNumberFormat="1" applyFont="1" applyFill="1" applyBorder="1" applyAlignment="1">
      <alignment horizontal="center" vertical="center"/>
    </xf>
    <xf numFmtId="0" fontId="7" fillId="0" borderId="5" xfId="0" applyNumberFormat="1" applyFont="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24" xfId="0" applyFont="1" applyFill="1" applyBorder="1" applyAlignment="1" applyProtection="1">
      <alignment horizontal="center" vertical="center"/>
    </xf>
    <xf numFmtId="0" fontId="3" fillId="0" borderId="23"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8" fillId="8" borderId="12"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7" borderId="19" xfId="0" applyFont="1" applyFill="1" applyBorder="1" applyAlignment="1">
      <alignment horizontal="right" vertical="center"/>
    </xf>
    <xf numFmtId="0" fontId="4" fillId="0" borderId="20" xfId="0" applyFont="1" applyBorder="1" applyAlignment="1">
      <alignment horizontal="center" vertical="center"/>
    </xf>
    <xf numFmtId="0" fontId="2" fillId="3" borderId="30" xfId="0" applyFont="1" applyFill="1" applyBorder="1" applyAlignment="1">
      <alignment horizontal="center" vertical="center"/>
    </xf>
    <xf numFmtId="0" fontId="3" fillId="7" borderId="31" xfId="0" applyFont="1" applyFill="1" applyBorder="1" applyAlignment="1">
      <alignment horizontal="right" vertical="center"/>
    </xf>
    <xf numFmtId="0" fontId="2" fillId="3" borderId="9" xfId="0" applyFont="1" applyFill="1" applyBorder="1" applyAlignment="1">
      <alignment horizontal="center" vertical="center"/>
    </xf>
    <xf numFmtId="0" fontId="2" fillId="0" borderId="19" xfId="0" applyFont="1" applyBorder="1" applyAlignment="1" applyProtection="1">
      <alignment horizontal="right" vertical="center" readingOrder="2"/>
      <protection locked="0"/>
    </xf>
    <xf numFmtId="0" fontId="2" fillId="0" borderId="32" xfId="0" applyFont="1" applyBorder="1" applyAlignment="1" applyProtection="1">
      <alignment horizontal="right" vertical="center" readingOrder="2"/>
      <protection locked="0"/>
    </xf>
    <xf numFmtId="0" fontId="2" fillId="0" borderId="8" xfId="0" applyFont="1" applyBorder="1" applyAlignment="1">
      <alignment horizontal="center" vertical="center"/>
    </xf>
    <xf numFmtId="0" fontId="8" fillId="0" borderId="33" xfId="0" applyFont="1" applyBorder="1" applyAlignment="1">
      <alignment horizontal="center" vertical="center"/>
    </xf>
    <xf numFmtId="0" fontId="0" fillId="0" borderId="8" xfId="0" applyFont="1" applyBorder="1" applyAlignment="1">
      <alignment horizontal="center" vertical="center"/>
    </xf>
    <xf numFmtId="0" fontId="2" fillId="0" borderId="18" xfId="0" applyFont="1" applyBorder="1" applyAlignment="1" applyProtection="1">
      <alignment horizontal="right" vertical="center" readingOrder="2"/>
      <protection locked="0"/>
    </xf>
    <xf numFmtId="0" fontId="2" fillId="0" borderId="18"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protection locked="0"/>
    </xf>
    <xf numFmtId="0" fontId="12" fillId="10" borderId="4" xfId="0" applyFont="1" applyFill="1" applyBorder="1"/>
    <xf numFmtId="0" fontId="12" fillId="10" borderId="35" xfId="0" applyFont="1" applyFill="1" applyBorder="1" applyAlignment="1">
      <alignment horizontal="center"/>
    </xf>
    <xf numFmtId="0" fontId="12" fillId="10" borderId="35" xfId="0" applyFont="1" applyFill="1" applyBorder="1"/>
    <xf numFmtId="0" fontId="12" fillId="10" borderId="5" xfId="0" applyFont="1" applyFill="1" applyBorder="1" applyAlignment="1">
      <alignment horizontal="center"/>
    </xf>
    <xf numFmtId="0" fontId="6" fillId="0" borderId="23" xfId="0" applyFont="1" applyBorder="1"/>
    <xf numFmtId="0" fontId="13" fillId="9" borderId="34" xfId="2" applyFont="1" applyAlignment="1" applyProtection="1">
      <alignment horizontal="center"/>
      <protection locked="0"/>
    </xf>
    <xf numFmtId="9" fontId="13" fillId="9" borderId="34" xfId="2" applyNumberFormat="1" applyFont="1" applyAlignment="1" applyProtection="1">
      <alignment horizontal="center"/>
      <protection locked="0"/>
    </xf>
    <xf numFmtId="164" fontId="0" fillId="0" borderId="0" xfId="0" applyNumberFormat="1"/>
    <xf numFmtId="10" fontId="6" fillId="0" borderId="6" xfId="1" applyNumberFormat="1" applyFont="1" applyBorder="1" applyProtection="1"/>
    <xf numFmtId="0" fontId="6" fillId="0" borderId="36" xfId="0" applyFont="1" applyBorder="1"/>
    <xf numFmtId="9" fontId="6" fillId="0" borderId="36" xfId="1" applyFont="1" applyBorder="1" applyProtection="1"/>
    <xf numFmtId="0" fontId="7" fillId="0" borderId="7" xfId="0" applyFont="1" applyBorder="1"/>
    <xf numFmtId="0" fontId="11" fillId="0" borderId="0" xfId="0" applyFont="1"/>
    <xf numFmtId="165" fontId="0" fillId="0" borderId="0" xfId="0" applyNumberFormat="1"/>
    <xf numFmtId="165" fontId="0" fillId="0" borderId="25" xfId="3" applyNumberFormat="1" applyFont="1" applyBorder="1"/>
    <xf numFmtId="165" fontId="0" fillId="0" borderId="7" xfId="3" applyNumberFormat="1" applyFont="1" applyBorder="1"/>
    <xf numFmtId="165" fontId="0" fillId="0" borderId="38" xfId="3" applyNumberFormat="1" applyFont="1" applyBorder="1"/>
    <xf numFmtId="165" fontId="0" fillId="0" borderId="39" xfId="3" applyNumberFormat="1" applyFont="1" applyBorder="1"/>
    <xf numFmtId="165" fontId="0" fillId="0" borderId="41" xfId="3" applyNumberFormat="1" applyFont="1" applyBorder="1"/>
    <xf numFmtId="165" fontId="0" fillId="0" borderId="42" xfId="3" applyNumberFormat="1" applyFont="1" applyBorder="1"/>
    <xf numFmtId="165" fontId="0" fillId="0" borderId="24" xfId="3" applyNumberFormat="1" applyFont="1" applyBorder="1"/>
    <xf numFmtId="165" fontId="0" fillId="0" borderId="46" xfId="3" applyNumberFormat="1" applyFont="1" applyBorder="1"/>
    <xf numFmtId="0" fontId="0" fillId="14" borderId="6" xfId="0" applyFill="1" applyBorder="1"/>
    <xf numFmtId="0" fontId="0" fillId="14" borderId="7" xfId="0" applyFill="1" applyBorder="1"/>
    <xf numFmtId="0" fontId="0" fillId="14" borderId="45" xfId="0" applyFill="1" applyBorder="1"/>
    <xf numFmtId="0" fontId="0" fillId="14" borderId="39" xfId="0" applyFill="1" applyBorder="1"/>
    <xf numFmtId="165" fontId="0" fillId="0" borderId="22" xfId="3" applyNumberFormat="1" applyFont="1" applyBorder="1"/>
    <xf numFmtId="165" fontId="0" fillId="0" borderId="47" xfId="3" applyNumberFormat="1" applyFont="1" applyBorder="1"/>
    <xf numFmtId="165" fontId="0" fillId="12" borderId="43" xfId="3" applyNumberFormat="1" applyFont="1" applyFill="1" applyBorder="1" applyProtection="1">
      <protection locked="0"/>
    </xf>
    <xf numFmtId="165" fontId="0" fillId="12" borderId="40" xfId="3" applyNumberFormat="1" applyFont="1" applyFill="1" applyBorder="1" applyProtection="1">
      <protection locked="0"/>
    </xf>
    <xf numFmtId="165" fontId="0" fillId="12" borderId="32" xfId="3" applyNumberFormat="1" applyFont="1" applyFill="1" applyBorder="1" applyProtection="1">
      <protection locked="0"/>
    </xf>
    <xf numFmtId="0" fontId="15" fillId="0" borderId="0" xfId="0" applyFont="1" applyAlignment="1"/>
    <xf numFmtId="0" fontId="16" fillId="0" borderId="0" xfId="0" applyFont="1" applyAlignment="1"/>
    <xf numFmtId="0" fontId="6" fillId="0" borderId="25" xfId="0" applyFont="1" applyBorder="1" applyAlignment="1" applyProtection="1">
      <alignment horizontal="center"/>
      <protection locked="0"/>
    </xf>
    <xf numFmtId="0" fontId="17" fillId="15" borderId="48" xfId="0" applyFont="1" applyFill="1" applyBorder="1"/>
    <xf numFmtId="0" fontId="17" fillId="0" borderId="49" xfId="0" applyFont="1" applyBorder="1"/>
    <xf numFmtId="0" fontId="17" fillId="0" borderId="50" xfId="0" applyFont="1" applyBorder="1"/>
    <xf numFmtId="0" fontId="18" fillId="16" borderId="50" xfId="0" applyFont="1" applyFill="1" applyBorder="1"/>
    <xf numFmtId="166" fontId="19" fillId="17" borderId="50" xfId="0" applyNumberFormat="1" applyFont="1" applyFill="1" applyBorder="1" applyAlignment="1">
      <alignment horizontal="right"/>
    </xf>
    <xf numFmtId="1" fontId="19" fillId="17" borderId="50" xfId="0" applyNumberFormat="1" applyFont="1" applyFill="1" applyBorder="1" applyAlignment="1">
      <alignment horizontal="right"/>
    </xf>
    <xf numFmtId="166" fontId="20" fillId="16" borderId="50" xfId="0" applyNumberFormat="1" applyFont="1" applyFill="1" applyBorder="1" applyAlignment="1">
      <alignment horizontal="right"/>
    </xf>
    <xf numFmtId="167" fontId="18" fillId="16" borderId="50" xfId="0" applyNumberFormat="1" applyFont="1" applyFill="1" applyBorder="1"/>
    <xf numFmtId="10" fontId="19" fillId="17" borderId="50" xfId="0" applyNumberFormat="1" applyFont="1" applyFill="1" applyBorder="1" applyAlignment="1">
      <alignment horizontal="right"/>
    </xf>
    <xf numFmtId="0" fontId="21" fillId="0" borderId="50" xfId="0" applyFont="1" applyBorder="1"/>
    <xf numFmtId="0" fontId="18" fillId="18" borderId="50" xfId="0" applyFont="1" applyFill="1" applyBorder="1"/>
    <xf numFmtId="0" fontId="22" fillId="16" borderId="50" xfId="0" applyFont="1" applyFill="1" applyBorder="1"/>
    <xf numFmtId="167" fontId="23" fillId="16" borderId="50" xfId="0" applyNumberFormat="1" applyFont="1" applyFill="1" applyBorder="1"/>
    <xf numFmtId="0" fontId="24" fillId="0" borderId="2" xfId="0" applyFont="1" applyBorder="1" applyAlignment="1">
      <alignment horizontal="center"/>
    </xf>
    <xf numFmtId="0" fontId="25" fillId="0" borderId="0" xfId="0" applyFont="1" applyAlignment="1">
      <alignment horizontal="center"/>
    </xf>
    <xf numFmtId="0" fontId="26" fillId="0" borderId="0" xfId="0" applyFont="1" applyAlignment="1">
      <alignment horizontal="center" vertical="center" wrapText="1"/>
    </xf>
    <xf numFmtId="0" fontId="27" fillId="0" borderId="0" xfId="0" applyFont="1" applyAlignment="1">
      <alignment horizontal="center" vertical="center" wrapText="1"/>
    </xf>
    <xf numFmtId="9" fontId="13" fillId="9" borderId="34" xfId="2" applyNumberFormat="1" applyFont="1" applyAlignment="1" applyProtection="1">
      <alignment horizontal="center"/>
    </xf>
    <xf numFmtId="166" fontId="0" fillId="0" borderId="0" xfId="0" applyNumberFormat="1"/>
    <xf numFmtId="14" fontId="0" fillId="0" borderId="0" xfId="0" applyNumberFormat="1"/>
    <xf numFmtId="3" fontId="0" fillId="0" borderId="0" xfId="0" applyNumberFormat="1"/>
    <xf numFmtId="9" fontId="0" fillId="0" borderId="0" xfId="1" applyFont="1"/>
    <xf numFmtId="0" fontId="3" fillId="6" borderId="10"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9" fillId="0" borderId="12" xfId="0" applyFont="1" applyBorder="1" applyAlignment="1" applyProtection="1">
      <alignment horizontal="center" vertical="center"/>
    </xf>
    <xf numFmtId="0" fontId="9" fillId="0" borderId="9" xfId="0" applyFont="1" applyBorder="1" applyAlignment="1" applyProtection="1">
      <alignment horizontal="center" vertical="center"/>
    </xf>
    <xf numFmtId="0" fontId="0" fillId="13" borderId="31" xfId="0" applyFill="1" applyBorder="1" applyAlignment="1">
      <alignment horizontal="center" vertical="center"/>
    </xf>
    <xf numFmtId="0" fontId="0" fillId="13" borderId="32" xfId="0" applyFill="1" applyBorder="1" applyAlignment="1">
      <alignment horizontal="center" vertical="center"/>
    </xf>
    <xf numFmtId="0" fontId="14" fillId="11" borderId="4" xfId="0" applyFont="1" applyFill="1" applyBorder="1" applyAlignment="1">
      <alignment horizontal="center"/>
    </xf>
    <xf numFmtId="0" fontId="14" fillId="11" borderId="5" xfId="0" applyFont="1" applyFill="1" applyBorder="1" applyAlignment="1">
      <alignment horizontal="center"/>
    </xf>
    <xf numFmtId="9" fontId="0" fillId="12" borderId="6" xfId="1" applyFont="1" applyFill="1" applyBorder="1" applyAlignment="1" applyProtection="1">
      <alignment horizontal="center"/>
      <protection locked="0"/>
    </xf>
    <xf numFmtId="9" fontId="0" fillId="12" borderId="7" xfId="1" applyFont="1" applyFill="1" applyBorder="1" applyAlignment="1" applyProtection="1">
      <alignment horizontal="center"/>
      <protection locked="0"/>
    </xf>
    <xf numFmtId="0" fontId="0" fillId="13" borderId="4" xfId="0" applyFill="1" applyBorder="1" applyAlignment="1">
      <alignment horizontal="center"/>
    </xf>
    <xf numFmtId="0" fontId="0" fillId="13" borderId="5" xfId="0" applyFill="1" applyBorder="1" applyAlignment="1">
      <alignment horizontal="center"/>
    </xf>
    <xf numFmtId="0" fontId="0" fillId="13" borderId="44" xfId="0" applyFill="1" applyBorder="1" applyAlignment="1">
      <alignment horizontal="center"/>
    </xf>
    <xf numFmtId="0" fontId="0" fillId="13" borderId="37" xfId="0" applyFill="1" applyBorder="1" applyAlignment="1">
      <alignment horizontal="center"/>
    </xf>
    <xf numFmtId="0" fontId="0" fillId="13" borderId="4" xfId="0" applyFill="1" applyBorder="1" applyAlignment="1">
      <alignment horizontal="center" readingOrder="2"/>
    </xf>
    <xf numFmtId="0" fontId="0" fillId="13" borderId="5" xfId="0" applyFill="1" applyBorder="1" applyAlignment="1">
      <alignment horizontal="center" readingOrder="2"/>
    </xf>
    <xf numFmtId="0" fontId="0" fillId="0" borderId="0" xfId="0" applyAlignment="1">
      <alignment horizontal="center"/>
    </xf>
  </cellXfs>
  <cellStyles count="4">
    <cellStyle name="Comma" xfId="3" builtinId="3"/>
    <cellStyle name="Normal" xfId="0" builtinId="0"/>
    <cellStyle name="Output" xfId="2" builtinId="21"/>
    <cellStyle name="Percent" xfId="1" builtinId="5"/>
  </cellStyles>
  <dxfs count="24">
    <dxf>
      <font>
        <b val="0"/>
        <i val="0"/>
        <strike val="0"/>
        <condense val="0"/>
        <extend val="0"/>
        <outline val="0"/>
        <shadow val="0"/>
        <u val="none"/>
        <vertAlign val="baseline"/>
        <sz val="11"/>
        <color theme="1"/>
        <name val="Calibri"/>
        <family val="2"/>
        <scheme val="minor"/>
      </font>
    </dxf>
    <dxf>
      <numFmt numFmtId="3" formatCode="#,##0"/>
    </dxf>
    <dxf>
      <numFmt numFmtId="3" formatCode="#,##0"/>
    </dxf>
    <dxf>
      <numFmt numFmtId="19" formatCode="m/d/yyyy"/>
    </dxf>
    <dxf>
      <numFmt numFmtId="19" formatCode="m/d/yyyy"/>
    </dxf>
    <dxf>
      <font>
        <b val="0"/>
        <i val="0"/>
        <strike val="0"/>
        <condense val="0"/>
        <extend val="0"/>
        <outline val="0"/>
        <shadow val="0"/>
        <u val="none"/>
        <vertAlign val="baseline"/>
        <sz val="11"/>
        <color theme="1"/>
        <name val="Calibri"/>
        <family val="2"/>
        <scheme val="minor"/>
      </font>
    </dxf>
    <dxf>
      <numFmt numFmtId="3" formatCode="#,##0"/>
    </dxf>
    <dxf>
      <numFmt numFmtId="3" formatCode="#,##0"/>
    </dxf>
    <dxf>
      <numFmt numFmtId="19" formatCode="m/d/yyyy"/>
    </dxf>
    <dxf>
      <numFmt numFmtId="19" formatCode="m/d/yyyy"/>
    </dxf>
    <dxf>
      <font>
        <b val="0"/>
        <i val="0"/>
        <strike val="0"/>
        <condense val="0"/>
        <extend val="0"/>
        <outline val="0"/>
        <shadow val="0"/>
        <u val="none"/>
        <vertAlign val="baseline"/>
        <sz val="11"/>
        <color theme="1"/>
        <name val="Calibri"/>
        <family val="2"/>
        <scheme val="minor"/>
      </font>
    </dxf>
    <dxf>
      <numFmt numFmtId="3" formatCode="#,##0"/>
    </dxf>
    <dxf>
      <numFmt numFmtId="3" formatCode="#,##0"/>
    </dxf>
    <dxf>
      <numFmt numFmtId="19" formatCode="m/d/yyyy"/>
    </dxf>
    <dxf>
      <numFmt numFmtId="19" formatCode="m/d/yyyy"/>
    </dxf>
    <dxf>
      <font>
        <b val="0"/>
        <i val="0"/>
        <strike val="0"/>
        <condense val="0"/>
        <extend val="0"/>
        <outline val="0"/>
        <shadow val="0"/>
        <u val="none"/>
        <vertAlign val="baseline"/>
        <sz val="11"/>
        <color theme="1"/>
        <name val="Calibri"/>
        <family val="2"/>
        <scheme val="minor"/>
      </font>
    </dxf>
    <dxf>
      <numFmt numFmtId="3" formatCode="#,##0"/>
    </dxf>
    <dxf>
      <numFmt numFmtId="3" formatCode="#,##0"/>
    </dxf>
    <dxf>
      <numFmt numFmtId="19" formatCode="m/d/yyyy"/>
    </dxf>
    <dxf>
      <numFmt numFmtId="19" formatCode="m/d/yyyy"/>
    </dxf>
    <dxf>
      <font>
        <strike val="0"/>
        <outline val="0"/>
        <shadow val="0"/>
        <u val="none"/>
        <vertAlign val="baseline"/>
        <color theme="1"/>
        <name val="Calibri"/>
        <family val="2"/>
        <scheme val="minor"/>
      </font>
      <alignment horizontal="right" vertical="center" textRotation="0" wrapText="0" indent="0" justifyLastLine="0" shrinkToFit="0" readingOrder="0"/>
    </dxf>
    <dxf>
      <alignment horizontal="center" vertical="center" textRotation="0" wrapText="0" indent="0" justifyLastLine="0" shrinkToFit="0" readingOrder="0"/>
    </dxf>
    <dxf>
      <border>
        <bottom style="medium">
          <color indexed="64"/>
        </bottom>
      </border>
    </dxf>
    <dxf>
      <font>
        <b/>
        <i val="0"/>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2</xdr:col>
      <xdr:colOff>1152525</xdr:colOff>
      <xdr:row>0</xdr:row>
      <xdr:rowOff>38101</xdr:rowOff>
    </xdr:from>
    <xdr:to>
      <xdr:col>2</xdr:col>
      <xdr:colOff>7791450</xdr:colOff>
      <xdr:row>5</xdr:row>
      <xdr:rowOff>171450</xdr:rowOff>
    </xdr:to>
    <xdr:sp macro="" textlink="">
      <xdr:nvSpPr>
        <xdr:cNvPr id="4" name="Rectangle: Rounded Corners 3">
          <a:extLst>
            <a:ext uri="{FF2B5EF4-FFF2-40B4-BE49-F238E27FC236}">
              <a16:creationId xmlns:a16="http://schemas.microsoft.com/office/drawing/2014/main" id="{923F4A9C-2005-4429-BB43-565AB764E800}"/>
            </a:ext>
          </a:extLst>
        </xdr:cNvPr>
        <xdr:cNvSpPr/>
      </xdr:nvSpPr>
      <xdr:spPr>
        <a:xfrm flipH="1">
          <a:off x="2549525" y="38101"/>
          <a:ext cx="6638925" cy="1054099"/>
        </a:xfrm>
        <a:prstGeom prst="roundRect">
          <a:avLst/>
        </a:prstGeom>
        <a:solidFill>
          <a:schemeClr val="bg1">
            <a:lumMod val="8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rtl="1"/>
          <a:r>
            <a:rPr lang="ar-KW" sz="1400"/>
            <a:t>في طريق عودتك من العمل الى</a:t>
          </a:r>
          <a:r>
            <a:rPr lang="ar-KW" sz="1400" baseline="0"/>
            <a:t> المنزل، هل تقود </a:t>
          </a:r>
          <a:r>
            <a:rPr lang="ar-SA" sz="1400" baseline="0"/>
            <a:t>سيارتك بأعلى سرعة مسموح بها او تقودها بسرعة معقولة</a:t>
          </a:r>
          <a:r>
            <a:rPr lang="ar-KW" sz="1400" baseline="0"/>
            <a:t>؟ كل شخص لديه نزعة مختلفة في التعامل مع المخاطر. عند الاستثمار يمكن استخدام هذه النزعة لتحديد النسبة المئوية من محفظتك الاستثمارية المعرضة للأسهم.. أكمل الاستبيان التالي للمساعدة في التعرف على نمط المخاطرة الخاص بك.</a:t>
          </a:r>
          <a:endParaRPr lang="en-US" sz="1400"/>
        </a:p>
      </xdr:txBody>
    </xdr:sp>
    <xdr:clientData/>
  </xdr:twoCellAnchor>
  <xdr:twoCellAnchor editAs="absolute">
    <xdr:from>
      <xdr:col>2</xdr:col>
      <xdr:colOff>8128567</xdr:colOff>
      <xdr:row>0</xdr:row>
      <xdr:rowOff>0</xdr:rowOff>
    </xdr:from>
    <xdr:to>
      <xdr:col>3</xdr:col>
      <xdr:colOff>63500</xdr:colOff>
      <xdr:row>6</xdr:row>
      <xdr:rowOff>38099</xdr:rowOff>
    </xdr:to>
    <xdr:pic>
      <xdr:nvPicPr>
        <xdr:cNvPr id="7" name="Picture 6">
          <a:extLst>
            <a:ext uri="{FF2B5EF4-FFF2-40B4-BE49-F238E27FC236}">
              <a16:creationId xmlns:a16="http://schemas.microsoft.com/office/drawing/2014/main" id="{0A8299F5-EE4B-4089-9FDA-0C505B669B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425" y="0"/>
          <a:ext cx="1136083" cy="1190624"/>
        </a:xfrm>
        <a:prstGeom prst="rect">
          <a:avLst/>
        </a:prstGeom>
      </xdr:spPr>
    </xdr:pic>
    <xdr:clientData/>
  </xdr:twoCellAnchor>
  <xdr:twoCellAnchor editAs="absolute">
    <xdr:from>
      <xdr:col>1</xdr:col>
      <xdr:colOff>356167</xdr:colOff>
      <xdr:row>0</xdr:row>
      <xdr:rowOff>0</xdr:rowOff>
    </xdr:from>
    <xdr:to>
      <xdr:col>2</xdr:col>
      <xdr:colOff>730250</xdr:colOff>
      <xdr:row>6</xdr:row>
      <xdr:rowOff>38099</xdr:rowOff>
    </xdr:to>
    <xdr:pic>
      <xdr:nvPicPr>
        <xdr:cNvPr id="6" name="Picture 5">
          <a:extLst>
            <a:ext uri="{FF2B5EF4-FFF2-40B4-BE49-F238E27FC236}">
              <a16:creationId xmlns:a16="http://schemas.microsoft.com/office/drawing/2014/main" id="{88E2D372-58D4-439C-BBB1-AE30353FE2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4825" y="0"/>
          <a:ext cx="1136083" cy="1190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76200</xdr:colOff>
      <xdr:row>2</xdr:row>
      <xdr:rowOff>57151</xdr:rowOff>
    </xdr:from>
    <xdr:to>
      <xdr:col>4</xdr:col>
      <xdr:colOff>527572</xdr:colOff>
      <xdr:row>15</xdr:row>
      <xdr:rowOff>419100</xdr:rowOff>
    </xdr:to>
    <xdr:pic>
      <xdr:nvPicPr>
        <xdr:cNvPr id="3" name="Picture 2">
          <a:extLst>
            <a:ext uri="{FF2B5EF4-FFF2-40B4-BE49-F238E27FC236}">
              <a16:creationId xmlns:a16="http://schemas.microsoft.com/office/drawing/2014/main" id="{A4F70AE7-7410-43A4-8A26-F596770846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6711153" y="447676"/>
          <a:ext cx="2280172" cy="3438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95250</xdr:colOff>
      <xdr:row>0</xdr:row>
      <xdr:rowOff>539750</xdr:rowOff>
    </xdr:from>
    <xdr:to>
      <xdr:col>3</xdr:col>
      <xdr:colOff>781050</xdr:colOff>
      <xdr:row>2</xdr:row>
      <xdr:rowOff>152400</xdr:rowOff>
    </xdr:to>
    <xdr:pic>
      <xdr:nvPicPr>
        <xdr:cNvPr id="3" name="Graphic 2" descr="Arrow Right">
          <a:extLst>
            <a:ext uri="{FF2B5EF4-FFF2-40B4-BE49-F238E27FC236}">
              <a16:creationId xmlns:a16="http://schemas.microsoft.com/office/drawing/2014/main" id="{EB91680F-D7C1-43C4-A76C-CB6967BAF4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0800000">
          <a:off x="3702050" y="539750"/>
          <a:ext cx="685800" cy="546100"/>
        </a:xfrm>
        <a:prstGeom prst="rect">
          <a:avLst/>
        </a:prstGeom>
      </xdr:spPr>
    </xdr:pic>
    <xdr:clientData/>
  </xdr:twoCellAnchor>
  <xdr:oneCellAnchor>
    <xdr:from>
      <xdr:col>3</xdr:col>
      <xdr:colOff>107950</xdr:colOff>
      <xdr:row>12</xdr:row>
      <xdr:rowOff>444500</xdr:rowOff>
    </xdr:from>
    <xdr:ext cx="685800" cy="546100"/>
    <xdr:pic>
      <xdr:nvPicPr>
        <xdr:cNvPr id="4" name="Graphic 3" descr="Arrow Right">
          <a:extLst>
            <a:ext uri="{FF2B5EF4-FFF2-40B4-BE49-F238E27FC236}">
              <a16:creationId xmlns:a16="http://schemas.microsoft.com/office/drawing/2014/main" id="{DF40E912-F0D8-4A73-B5D3-F01EC1E475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0800000">
          <a:off x="3714750" y="3644900"/>
          <a:ext cx="685800" cy="54610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7235B3-03B2-41E4-B256-AD8E9E6B529C}" name="Table1" displayName="Table1" ref="B7:C63" totalsRowShown="0" headerRowDxfId="23" headerRowBorderDxfId="22">
  <tableColumns count="2">
    <tableColumn id="1" xr3:uid="{A910E33E-190B-4B31-8D0D-F6D3C2940E5D}" name="م." dataDxfId="21"/>
    <tableColumn id="2" xr3:uid="{11C3F06C-63CD-42A8-95B7-D11004C656A2}" name="السؤال " dataDxfId="20"/>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EC871A-5C17-46D1-8ECA-05863A884B1E}" name="Table13" displayName="Table13" ref="B4:J9" totalsRowShown="0">
  <tableColumns count="9">
    <tableColumn id="1" xr3:uid="{C9D84AAD-E4CD-4399-A0DE-65EC5840DA95}" name="ETF"/>
    <tableColumn id="2" xr3:uid="{B69A4BD8-DE94-413B-B8F8-2C0B173BFB14}" name="من تاريخ" dataDxfId="19"/>
    <tableColumn id="3" xr3:uid="{78532EB6-27B2-4FA7-BB4D-7D9E87A449CF}" name="الى تاريخ" dataDxfId="18"/>
    <tableColumn id="4" xr3:uid="{15DBF600-E23C-47DA-B7A2-2E84FB47CC0B}" name="عدد السنوات"/>
    <tableColumn id="5" xr3:uid="{9BBCCEE9-CA3B-46FC-96E6-4DCE2DD264F5}" name="العائد السنوي"/>
    <tableColumn id="6" xr3:uid="{90F53115-AD58-480E-82B6-3E206AB4D7E0}" name="استثماري شهري"/>
    <tableColumn id="7" xr3:uid="{07CC00A1-0BFC-4D37-97B4-DBB7B47521FF}" name="اجمالي المدخرات" dataDxfId="17">
      <calculatedColumnFormula>G5*E5*12</calculatedColumnFormula>
    </tableColumn>
    <tableColumn id="8" xr3:uid="{FB564B20-6E17-4DB3-B7E1-6E2614EF0580}" name="القيمة النهائية" dataDxfId="16"/>
    <tableColumn id="9" xr3:uid="{7DBC041A-5E96-4472-8C5C-4352D0A45FC1}" name="العائد الكلي" dataDxfId="15" dataCellStyle="Percent">
      <calculatedColumnFormula>(I5-H5)/H5</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A6081F-C3CE-4628-AF3C-7DD5B27D42D5}" name="Table134" displayName="Table134" ref="B13:J18" totalsRowShown="0">
  <tableColumns count="9">
    <tableColumn id="1" xr3:uid="{958487BB-42AC-4B83-8131-F01F74254B35}" name="ETF"/>
    <tableColumn id="2" xr3:uid="{38B8E7EE-952A-4C75-B513-3931583A4EAE}" name="من تاريخ" dataDxfId="14"/>
    <tableColumn id="3" xr3:uid="{4524FFE8-5F76-44E1-B5E5-31E2F50938CF}" name="الى تاريخ" dataDxfId="13"/>
    <tableColumn id="4" xr3:uid="{91F9B074-6525-430C-8D4A-F0BDC680ADBA}" name="عدد السنوات"/>
    <tableColumn id="5" xr3:uid="{ABE6BB0C-5513-4E8C-8A4D-C0A01ECE6726}" name="العائد السنوي"/>
    <tableColumn id="6" xr3:uid="{7821B812-8174-45B9-BD33-EC77F02EB8CE}" name="استثماري شهري"/>
    <tableColumn id="7" xr3:uid="{B822A7E9-E90B-4167-8A6A-3BCC0F4FE826}" name="اجمالي المدخرات" dataDxfId="12">
      <calculatedColumnFormula>G14*E14*12</calculatedColumnFormula>
    </tableColumn>
    <tableColumn id="8" xr3:uid="{246EED4E-B16F-4C66-8C4D-5AED08323953}" name="القيمة النهائية" dataDxfId="11"/>
    <tableColumn id="9" xr3:uid="{EFF4C686-CCD2-4406-A8F9-D0B66EAB0C2E}" name="العائد الكلي" dataDxfId="10" dataCellStyle="Percent">
      <calculatedColumnFormula>(I14-H14)/H14</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974CF5D-8202-4126-A649-CA77407E2121}" name="Table1345" displayName="Table1345" ref="B21:J23" totalsRowShown="0">
  <tableColumns count="9">
    <tableColumn id="1" xr3:uid="{95746BD9-9CCB-4C24-9AA6-D15D03FDF492}" name="ETF"/>
    <tableColumn id="2" xr3:uid="{17BE735E-E459-429D-8F84-8CC6D8945C32}" name="من تاريخ" dataDxfId="9"/>
    <tableColumn id="3" xr3:uid="{DC895004-2F65-4360-99A1-4878638A1A6F}" name="الى تاريخ" dataDxfId="8"/>
    <tableColumn id="4" xr3:uid="{578F3B69-116B-4A6E-BD2B-FA55347D8AB8}" name="عدد السنوات"/>
    <tableColumn id="5" xr3:uid="{77B67D74-0CA2-49FF-A74A-CA1DBC0E2FFE}" name="العائد السنوي"/>
    <tableColumn id="6" xr3:uid="{57350558-380F-4B17-8B5A-25EA0DF2C77D}" name="استثماري شهري"/>
    <tableColumn id="7" xr3:uid="{B207CA30-2D5F-4BF2-B350-8BBAFB975C07}" name="اجمالي المدخرات" dataDxfId="7">
      <calculatedColumnFormula>G22*E22*12</calculatedColumnFormula>
    </tableColumn>
    <tableColumn id="8" xr3:uid="{4BCB8E54-2F2B-4EF7-8DA9-966455C736CE}" name="القيمة النهائية" dataDxfId="6"/>
    <tableColumn id="9" xr3:uid="{695E53A1-A2CB-44A0-ABA2-0B9089432E9F}" name="العائد الكلي" dataDxfId="5" dataCellStyle="Percent">
      <calculatedColumnFormula>(I22-H22)/H22</calculatedColumnFormula>
    </tableColum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51BCDA2-9270-464E-B405-71F0F2ABA4F3}" name="Table135" displayName="Table135" ref="B26:J29" totalsRowShown="0">
  <tableColumns count="9">
    <tableColumn id="1" xr3:uid="{C5EA712F-B3A5-487D-A2D2-E20DE098E3BE}" name="ETF"/>
    <tableColumn id="2" xr3:uid="{61B91386-6B6D-4256-B114-43EA7FD80457}" name="من تاريخ" dataDxfId="4"/>
    <tableColumn id="3" xr3:uid="{90522194-992C-477E-BAC7-C8AEF7298A33}" name="الى تاريخ" dataDxfId="3"/>
    <tableColumn id="4" xr3:uid="{27650E14-1C56-44D0-9AEC-7C912174DEFB}" name="عدد السنوات"/>
    <tableColumn id="5" xr3:uid="{EC603F94-24F5-429D-AA66-CF02BE650EEE}" name="العائد السنوي"/>
    <tableColumn id="6" xr3:uid="{E019EA70-8D3C-49C2-8561-35A338B1981D}" name="استثماري شهري"/>
    <tableColumn id="7" xr3:uid="{FE5E2E59-2468-435D-976A-2A29B86F6AE6}" name="اجمالي المدخرات" dataDxfId="2">
      <calculatedColumnFormula>G27*E27*12</calculatedColumnFormula>
    </tableColumn>
    <tableColumn id="8" xr3:uid="{B7AD443F-B71F-499B-958D-6EE91BE9E2F6}" name="القيمة النهائية" dataDxfId="1"/>
    <tableColumn id="9" xr3:uid="{76FCB8CD-73CB-48A1-BDB3-BF6D8E4C86EA}" name="العائد الكلي" dataDxfId="0" dataCellStyle="Percent">
      <calculatedColumnFormula>(I27-H27)/H27</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90FCD-D741-4386-AC60-6A3DDB5B8FBF}">
  <sheetPr>
    <tabColor rgb="FFFF0000"/>
  </sheetPr>
  <dimension ref="A8:P13"/>
  <sheetViews>
    <sheetView showGridLines="0" showRowColHeaders="0" workbookViewId="0">
      <selection activeCell="K7" sqref="K7"/>
    </sheetView>
  </sheetViews>
  <sheetFormatPr defaultRowHeight="14.5"/>
  <cols>
    <col min="16" max="16" width="22.08984375" customWidth="1"/>
  </cols>
  <sheetData>
    <row r="8" spans="1:16" ht="46" customHeight="1">
      <c r="A8" s="92"/>
      <c r="B8" s="92"/>
      <c r="C8" s="92"/>
      <c r="D8" s="92"/>
      <c r="E8" s="92"/>
      <c r="F8" s="92"/>
      <c r="G8" s="92"/>
      <c r="H8" s="92"/>
      <c r="I8" s="92"/>
      <c r="J8" s="92"/>
      <c r="K8" s="92"/>
      <c r="L8" s="92"/>
      <c r="M8" s="92"/>
      <c r="N8" s="92"/>
      <c r="O8" s="92"/>
      <c r="P8" s="93" t="s">
        <v>85</v>
      </c>
    </row>
    <row r="9" spans="1:16" ht="14.5" customHeight="1">
      <c r="A9" s="92"/>
      <c r="B9" s="92"/>
      <c r="C9" s="92"/>
      <c r="D9" s="92"/>
      <c r="E9" s="92"/>
      <c r="F9" s="92"/>
      <c r="G9" s="92"/>
      <c r="H9" s="92"/>
      <c r="I9" s="92"/>
      <c r="J9" s="92"/>
      <c r="K9" s="92"/>
      <c r="L9" s="92"/>
      <c r="M9" s="92"/>
      <c r="N9" s="92"/>
      <c r="O9" s="92"/>
      <c r="P9" s="92"/>
    </row>
    <row r="10" spans="1:16" ht="14.5" customHeight="1">
      <c r="A10" s="92"/>
      <c r="B10" s="92"/>
      <c r="C10" s="92"/>
      <c r="D10" s="92"/>
      <c r="E10" s="92"/>
      <c r="F10" s="92"/>
      <c r="G10" s="92"/>
      <c r="H10" s="92"/>
      <c r="I10" s="92"/>
      <c r="J10" s="92"/>
      <c r="K10" s="92"/>
      <c r="L10" s="92"/>
      <c r="M10" s="92"/>
      <c r="N10" s="92"/>
      <c r="O10" s="92"/>
      <c r="P10" s="92"/>
    </row>
    <row r="11" spans="1:16" ht="14.5" customHeight="1">
      <c r="A11" s="92"/>
      <c r="B11" s="92"/>
      <c r="C11" s="92"/>
      <c r="D11" s="92"/>
      <c r="E11" s="92"/>
      <c r="F11" s="92"/>
      <c r="G11" s="92"/>
      <c r="H11" s="92"/>
      <c r="I11" s="92"/>
      <c r="J11" s="92"/>
      <c r="K11" s="92"/>
      <c r="L11" s="92"/>
      <c r="M11" s="92"/>
      <c r="N11" s="92"/>
      <c r="O11" s="92"/>
      <c r="P11" s="92"/>
    </row>
    <row r="12" spans="1:16" ht="14.5" customHeight="1">
      <c r="A12" s="92"/>
      <c r="B12" s="92"/>
      <c r="C12" s="92"/>
      <c r="D12" s="92"/>
      <c r="E12" s="92"/>
      <c r="F12" s="92"/>
      <c r="G12" s="92"/>
      <c r="H12" s="92"/>
      <c r="I12" s="92"/>
      <c r="J12" s="92"/>
      <c r="K12" s="92"/>
      <c r="L12" s="92"/>
      <c r="M12" s="92"/>
      <c r="N12" s="92"/>
      <c r="O12" s="92"/>
      <c r="P12" s="92"/>
    </row>
    <row r="13" spans="1:16" ht="14.5" customHeight="1">
      <c r="A13" s="92"/>
      <c r="B13" s="92"/>
      <c r="C13" s="92"/>
      <c r="D13" s="92"/>
      <c r="E13" s="92"/>
      <c r="F13" s="92"/>
      <c r="G13" s="92"/>
      <c r="H13" s="92"/>
      <c r="I13" s="92"/>
      <c r="J13" s="92"/>
      <c r="K13" s="92"/>
      <c r="L13" s="92"/>
      <c r="M13" s="92"/>
      <c r="N13" s="92"/>
      <c r="O13" s="92"/>
      <c r="P13" s="9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CC39E-7609-43D9-A0F7-41F2E34A25AB}">
  <sheetPr codeName="Sheet1">
    <tabColor theme="4" tint="-0.499984740745262"/>
  </sheetPr>
  <dimension ref="A6:Q63"/>
  <sheetViews>
    <sheetView showGridLines="0" topLeftCell="A33" zoomScaleNormal="100" workbookViewId="0">
      <selection activeCell="C59" sqref="C59"/>
    </sheetView>
  </sheetViews>
  <sheetFormatPr defaultColWidth="0" defaultRowHeight="14.5"/>
  <cols>
    <col min="1" max="1" width="8.54296875" customWidth="1"/>
    <col min="2" max="2" width="11.453125" customWidth="1"/>
    <col min="3" max="3" width="131.7265625" customWidth="1"/>
    <col min="4" max="4" width="8.54296875" customWidth="1"/>
    <col min="5" max="5" width="17.26953125" hidden="1" customWidth="1"/>
    <col min="6" max="16384" width="9.1796875" hidden="1"/>
  </cols>
  <sheetData>
    <row r="6" spans="2:17" ht="15" thickBot="1"/>
    <row r="7" spans="2:17" ht="16" thickBot="1">
      <c r="B7" s="49" t="s">
        <v>0</v>
      </c>
      <c r="C7" s="34" t="s">
        <v>1</v>
      </c>
    </row>
    <row r="8" spans="2:17" ht="19" thickBot="1">
      <c r="B8" s="45">
        <v>1</v>
      </c>
      <c r="C8" s="48" t="s">
        <v>2</v>
      </c>
      <c r="E8" s="2" t="s">
        <v>33</v>
      </c>
      <c r="F8" s="1">
        <f>COUNTA(#REF!,#REF!,#REF!,#REF!,#REF!,#REF!,#REF!,#REF!,#REF!,#REF!)</f>
        <v>10</v>
      </c>
    </row>
    <row r="9" spans="2:17" ht="16" thickBot="1">
      <c r="B9" s="50" t="s">
        <v>52</v>
      </c>
      <c r="C9" s="53" t="s">
        <v>20</v>
      </c>
      <c r="E9" s="4" t="s">
        <v>34</v>
      </c>
      <c r="F9" s="4">
        <f>IF(C9=C10,6,IF(C9=C11,4,IF(C9=C12,2,0)))</f>
        <v>4</v>
      </c>
    </row>
    <row r="10" spans="2:17" ht="15.5" hidden="1">
      <c r="B10" s="55"/>
      <c r="C10" s="26" t="s">
        <v>54</v>
      </c>
      <c r="E10" s="4"/>
      <c r="F10" s="4"/>
    </row>
    <row r="11" spans="2:17" ht="15.5" hidden="1">
      <c r="B11" s="55"/>
      <c r="C11" s="26" t="s">
        <v>20</v>
      </c>
      <c r="E11" s="4" t="s">
        <v>35</v>
      </c>
      <c r="F11" s="4">
        <f>IF(C14=C15,2,IF(C14=C16,4,IF(C14=C17,6,IF(C14=C18,4,0))))</f>
        <v>4</v>
      </c>
    </row>
    <row r="12" spans="2:17" ht="16" hidden="1" thickBot="1">
      <c r="B12" s="55"/>
      <c r="C12" s="26" t="s">
        <v>21</v>
      </c>
      <c r="E12" s="4" t="s">
        <v>36</v>
      </c>
      <c r="F12" s="4">
        <f>IF(C20=C21,2,IF(C20=C22,4,IF(C20=C23,6,IF(C20=C24,10,0))))</f>
        <v>10</v>
      </c>
    </row>
    <row r="13" spans="2:17" ht="21.5" thickBot="1">
      <c r="B13" s="33">
        <v>2</v>
      </c>
      <c r="C13" s="51" t="s">
        <v>3</v>
      </c>
      <c r="E13" s="4" t="s">
        <v>37</v>
      </c>
      <c r="F13" s="4">
        <f>IF(C26=C27,6,IF(C26=C28,8,IF(C26=C29,10,IF(C26=C30,4,IF(C26=C31,2,0)))))</f>
        <v>10</v>
      </c>
      <c r="H13" s="3" t="s">
        <v>23</v>
      </c>
      <c r="I13" s="3" t="s">
        <v>22</v>
      </c>
      <c r="J13" s="3" t="s">
        <v>19</v>
      </c>
      <c r="K13" s="3" t="s">
        <v>18</v>
      </c>
      <c r="L13" s="3" t="s">
        <v>17</v>
      </c>
    </row>
    <row r="14" spans="2:17" ht="16" thickBot="1">
      <c r="B14" s="52" t="s">
        <v>52</v>
      </c>
      <c r="C14" s="54" t="s">
        <v>56</v>
      </c>
      <c r="E14" s="4" t="s">
        <v>38</v>
      </c>
      <c r="F14" s="4">
        <f>IF(C33=C34,2,IF(C33=C35,6,IF(C33=C36,10,0)))</f>
        <v>10</v>
      </c>
      <c r="Q14" s="10"/>
    </row>
    <row r="15" spans="2:17" ht="15.5" hidden="1">
      <c r="B15" s="9"/>
      <c r="C15" s="26" t="s">
        <v>5</v>
      </c>
      <c r="E15" s="4"/>
      <c r="F15" s="4"/>
      <c r="Q15" s="10"/>
    </row>
    <row r="16" spans="2:17" ht="15.5" hidden="1">
      <c r="B16" s="9"/>
      <c r="C16" s="26" t="s">
        <v>49</v>
      </c>
      <c r="E16" s="4" t="s">
        <v>39</v>
      </c>
      <c r="F16" s="4">
        <f>IF(C38=C39,2,IF(C38=C40,6,IF(C38=C41,10,0)))</f>
        <v>2</v>
      </c>
    </row>
    <row r="17" spans="2:6" ht="15.5" hidden="1">
      <c r="B17" s="9"/>
      <c r="C17" s="26" t="s">
        <v>6</v>
      </c>
      <c r="E17" s="4" t="s">
        <v>40</v>
      </c>
      <c r="F17" s="4">
        <f>IF(C43=C44,10,IF(C43=C45,6,IF(C43=C46,2,0)))</f>
        <v>6</v>
      </c>
    </row>
    <row r="18" spans="2:6" ht="16" hidden="1" thickBot="1">
      <c r="B18" s="9"/>
      <c r="C18" s="26" t="s">
        <v>56</v>
      </c>
      <c r="E18" s="4" t="s">
        <v>41</v>
      </c>
      <c r="F18" s="4">
        <f>IF(C48=C49,10,IF(C48=C50,2,IF(C48=C51,6,0)))</f>
        <v>2</v>
      </c>
    </row>
    <row r="19" spans="2:6" ht="19" thickBot="1">
      <c r="B19" s="56">
        <v>3</v>
      </c>
      <c r="C19" s="30" t="s">
        <v>4</v>
      </c>
      <c r="E19" s="4" t="s">
        <v>42</v>
      </c>
      <c r="F19" s="4">
        <f>IF(C53=C54,2,IF(C53=C55,6,IF(C53=C56,8,IF(C53=C57,10,0))))</f>
        <v>2</v>
      </c>
    </row>
    <row r="20" spans="2:6" ht="15.75" customHeight="1" thickBot="1">
      <c r="B20" s="50" t="s">
        <v>52</v>
      </c>
      <c r="C20" s="58" t="s">
        <v>9</v>
      </c>
      <c r="E20" s="5" t="s">
        <v>43</v>
      </c>
      <c r="F20" s="5">
        <f>IF(C59=C60,2,IF(C59=C61,4,IF(C59=C62,8,IF(C59=C63,10,0))))</f>
        <v>2</v>
      </c>
    </row>
    <row r="21" spans="2:6" ht="15.75" hidden="1" customHeight="1" thickBot="1">
      <c r="B21" s="9"/>
      <c r="C21" s="26" t="s">
        <v>57</v>
      </c>
      <c r="E21" s="46"/>
      <c r="F21" s="47"/>
    </row>
    <row r="22" spans="2:6" ht="15.75" hidden="1" customHeight="1">
      <c r="B22" s="9"/>
      <c r="C22" s="26" t="s">
        <v>7</v>
      </c>
      <c r="E22" s="6" t="s">
        <v>44</v>
      </c>
      <c r="F22" s="37">
        <f>SUM(F9:F20)</f>
        <v>52</v>
      </c>
    </row>
    <row r="23" spans="2:6" ht="15.75" hidden="1" customHeight="1" thickBot="1">
      <c r="B23" s="9"/>
      <c r="C23" s="26" t="s">
        <v>8</v>
      </c>
      <c r="E23" s="7"/>
      <c r="F23" s="8"/>
    </row>
    <row r="24" spans="2:6" ht="15.75" hidden="1" customHeight="1" thickBot="1">
      <c r="B24" s="9"/>
      <c r="C24" s="26" t="s">
        <v>9</v>
      </c>
    </row>
    <row r="25" spans="2:6" ht="19" thickBot="1">
      <c r="B25" s="56">
        <v>4</v>
      </c>
      <c r="C25" s="30" t="s">
        <v>13</v>
      </c>
    </row>
    <row r="26" spans="2:6" ht="16" thickBot="1">
      <c r="B26" s="50" t="s">
        <v>52</v>
      </c>
      <c r="C26" s="58" t="s">
        <v>15</v>
      </c>
    </row>
    <row r="27" spans="2:6" ht="15.5" hidden="1">
      <c r="B27" s="9"/>
      <c r="C27" s="26" t="s">
        <v>10</v>
      </c>
    </row>
    <row r="28" spans="2:6" ht="15.5" hidden="1">
      <c r="B28" s="9"/>
      <c r="C28" s="26" t="s">
        <v>11</v>
      </c>
    </row>
    <row r="29" spans="2:6" ht="15.5" hidden="1">
      <c r="B29" s="9"/>
      <c r="C29" s="26" t="s">
        <v>15</v>
      </c>
    </row>
    <row r="30" spans="2:6" ht="15.5" hidden="1">
      <c r="B30" s="9"/>
      <c r="C30" s="26" t="s">
        <v>12</v>
      </c>
    </row>
    <row r="31" spans="2:6" ht="16" hidden="1" thickBot="1">
      <c r="B31" s="57"/>
      <c r="C31" s="26" t="s">
        <v>16</v>
      </c>
    </row>
    <row r="32" spans="2:6" ht="18.75" customHeight="1" thickBot="1">
      <c r="B32" s="56">
        <v>5</v>
      </c>
      <c r="C32" s="31" t="s">
        <v>14</v>
      </c>
    </row>
    <row r="33" spans="2:3" ht="15.75" customHeight="1" thickBot="1">
      <c r="B33" s="50" t="s">
        <v>52</v>
      </c>
      <c r="C33" s="58" t="s">
        <v>25</v>
      </c>
    </row>
    <row r="34" spans="2:3" ht="15.75" hidden="1" customHeight="1">
      <c r="B34" s="9"/>
      <c r="C34" s="26" t="s">
        <v>55</v>
      </c>
    </row>
    <row r="35" spans="2:3" ht="15.75" hidden="1" customHeight="1">
      <c r="B35" s="9"/>
      <c r="C35" s="26" t="s">
        <v>24</v>
      </c>
    </row>
    <row r="36" spans="2:3" ht="15.75" hidden="1" customHeight="1" thickBot="1">
      <c r="B36" s="9"/>
      <c r="C36" s="26" t="s">
        <v>25</v>
      </c>
    </row>
    <row r="37" spans="2:3" ht="19" thickBot="1">
      <c r="B37" s="56">
        <v>6</v>
      </c>
      <c r="C37" s="30" t="s">
        <v>58</v>
      </c>
    </row>
    <row r="38" spans="2:3" ht="31.5" thickBot="1">
      <c r="B38" s="50" t="s">
        <v>52</v>
      </c>
      <c r="C38" s="59" t="s">
        <v>47</v>
      </c>
    </row>
    <row r="39" spans="2:3" ht="15.75" hidden="1" customHeight="1">
      <c r="B39" s="9"/>
      <c r="C39" s="27" t="s">
        <v>47</v>
      </c>
    </row>
    <row r="40" spans="2:3" ht="15.75" hidden="1" customHeight="1">
      <c r="B40" s="9"/>
      <c r="C40" s="27" t="s">
        <v>48</v>
      </c>
    </row>
    <row r="41" spans="2:3" ht="16" hidden="1" thickBot="1">
      <c r="B41" s="9"/>
      <c r="C41" s="29" t="s">
        <v>64</v>
      </c>
    </row>
    <row r="42" spans="2:3" ht="19" thickBot="1">
      <c r="B42" s="56">
        <v>7</v>
      </c>
      <c r="C42" s="30" t="s">
        <v>30</v>
      </c>
    </row>
    <row r="43" spans="2:3" ht="15.75" customHeight="1" thickBot="1">
      <c r="B43" s="50" t="s">
        <v>52</v>
      </c>
      <c r="C43" s="59" t="s">
        <v>29</v>
      </c>
    </row>
    <row r="44" spans="2:3" ht="15.75" hidden="1" customHeight="1">
      <c r="B44" s="9"/>
      <c r="C44" s="27" t="s">
        <v>31</v>
      </c>
    </row>
    <row r="45" spans="2:3" ht="15.75" hidden="1" customHeight="1">
      <c r="B45" s="9"/>
      <c r="C45" s="27" t="s">
        <v>29</v>
      </c>
    </row>
    <row r="46" spans="2:3" ht="15.75" hidden="1" customHeight="1" thickBot="1">
      <c r="B46" s="9"/>
      <c r="C46" s="27" t="s">
        <v>65</v>
      </c>
    </row>
    <row r="47" spans="2:3" ht="19" thickBot="1">
      <c r="B47" s="56">
        <v>8</v>
      </c>
      <c r="C47" s="30" t="s">
        <v>28</v>
      </c>
    </row>
    <row r="48" spans="2:3" ht="15.75" customHeight="1" thickBot="1">
      <c r="B48" s="50" t="s">
        <v>52</v>
      </c>
      <c r="C48" s="59" t="s">
        <v>26</v>
      </c>
    </row>
    <row r="49" spans="2:3" ht="15.75" hidden="1" customHeight="1">
      <c r="B49" s="9"/>
      <c r="C49" s="27" t="s">
        <v>53</v>
      </c>
    </row>
    <row r="50" spans="2:3" ht="15.5" hidden="1">
      <c r="B50" s="9"/>
      <c r="C50" s="27" t="s">
        <v>26</v>
      </c>
    </row>
    <row r="51" spans="2:3" ht="16" hidden="1" thickBot="1">
      <c r="B51" s="9"/>
      <c r="C51" s="27" t="s">
        <v>27</v>
      </c>
    </row>
    <row r="52" spans="2:3" ht="37.5" thickBot="1">
      <c r="B52" s="56">
        <v>9</v>
      </c>
      <c r="C52" s="32" t="s">
        <v>67</v>
      </c>
    </row>
    <row r="53" spans="2:3" ht="15.75" customHeight="1" thickBot="1">
      <c r="B53" s="50" t="s">
        <v>52</v>
      </c>
      <c r="C53" s="60" t="s">
        <v>32</v>
      </c>
    </row>
    <row r="54" spans="2:3" ht="15.75" hidden="1" customHeight="1">
      <c r="B54" s="9"/>
      <c r="C54" s="29" t="s">
        <v>32</v>
      </c>
    </row>
    <row r="55" spans="2:3" ht="15.5" hidden="1">
      <c r="B55" s="9"/>
      <c r="C55" s="29" t="s">
        <v>69</v>
      </c>
    </row>
    <row r="56" spans="2:3" ht="15.5" hidden="1">
      <c r="B56" s="9"/>
      <c r="C56" s="29" t="s">
        <v>68</v>
      </c>
    </row>
    <row r="57" spans="2:3" ht="15.75" hidden="1" customHeight="1" thickBot="1">
      <c r="B57" s="9"/>
      <c r="C57" s="27" t="s">
        <v>66</v>
      </c>
    </row>
    <row r="58" spans="2:3" ht="37.5" customHeight="1" thickBot="1">
      <c r="B58" s="56">
        <v>10</v>
      </c>
      <c r="C58" s="32" t="s">
        <v>59</v>
      </c>
    </row>
    <row r="59" spans="2:3" ht="16" thickBot="1">
      <c r="B59" s="50" t="s">
        <v>52</v>
      </c>
      <c r="C59" s="60" t="s">
        <v>60</v>
      </c>
    </row>
    <row r="60" spans="2:3" ht="15.5" hidden="1">
      <c r="B60" s="35" t="s">
        <v>17</v>
      </c>
      <c r="C60" s="29" t="s">
        <v>60</v>
      </c>
    </row>
    <row r="61" spans="2:3" ht="15.5" hidden="1">
      <c r="B61" s="35" t="s">
        <v>18</v>
      </c>
      <c r="C61" s="29" t="s">
        <v>61</v>
      </c>
    </row>
    <row r="62" spans="2:3" ht="15.5" hidden="1">
      <c r="B62" s="35" t="s">
        <v>19</v>
      </c>
      <c r="C62" s="29" t="s">
        <v>62</v>
      </c>
    </row>
    <row r="63" spans="2:3" ht="16" hidden="1" thickBot="1">
      <c r="B63" s="36" t="s">
        <v>22</v>
      </c>
      <c r="C63" s="28" t="s">
        <v>63</v>
      </c>
    </row>
  </sheetData>
  <sheetProtection sheet="1" selectLockedCells="1"/>
  <phoneticPr fontId="5" type="noConversion"/>
  <dataValidations xWindow="832" yWindow="468" count="10">
    <dataValidation type="list" allowBlank="1" showInputMessage="1" showErrorMessage="1" sqref="C9" xr:uid="{0D834DE6-1CE8-4997-9319-2A3EFA10A69E}">
      <formula1>$C$10:$C$12</formula1>
    </dataValidation>
    <dataValidation type="list" allowBlank="1" showInputMessage="1" showErrorMessage="1" sqref="C14" xr:uid="{95117C3B-890A-4572-80F5-8F23BAB02F26}">
      <formula1>$C$15:$C$18</formula1>
    </dataValidation>
    <dataValidation type="list" allowBlank="1" showInputMessage="1" showErrorMessage="1" sqref="C20" xr:uid="{770F1F62-1908-4124-ACE1-02C7C78BCC8C}">
      <formula1>$C$21:$C$24</formula1>
    </dataValidation>
    <dataValidation type="list" allowBlank="1" showInputMessage="1" showErrorMessage="1" sqref="C26" xr:uid="{109C7FA9-2C50-46A9-97C5-F72B356B5B56}">
      <formula1>$C$27:$C$31</formula1>
    </dataValidation>
    <dataValidation type="list" allowBlank="1" showInputMessage="1" showErrorMessage="1" sqref="C33" xr:uid="{34DF49A2-C9B2-43AF-B69C-3CAC2FD5BC69}">
      <formula1>$C$34:$C$36</formula1>
    </dataValidation>
    <dataValidation type="list" allowBlank="1" showInputMessage="1" showErrorMessage="1" sqref="C38" xr:uid="{FDB47EE0-59FE-4504-B73E-FB5250E01261}">
      <formula1>$C$39:$C$41</formula1>
    </dataValidation>
    <dataValidation type="list" allowBlank="1" showInputMessage="1" showErrorMessage="1" sqref="C43" xr:uid="{C5DAF887-FE5F-4DBB-A96A-AA06D4FF5AB9}">
      <formula1>$C$44:$C$46</formula1>
    </dataValidation>
    <dataValidation type="list" allowBlank="1" showInputMessage="1" showErrorMessage="1" sqref="C48" xr:uid="{28F5B325-FB92-4DBB-A898-509D0DF04EA3}">
      <formula1>$C$49:$C$51</formula1>
    </dataValidation>
    <dataValidation type="list" allowBlank="1" showInputMessage="1" showErrorMessage="1" sqref="C53" xr:uid="{D4AE9725-DAD0-474F-8BEC-8FC49E55812F}">
      <formula1>$C$54:$C$57</formula1>
    </dataValidation>
    <dataValidation type="list" allowBlank="1" showInputMessage="1" showErrorMessage="1" sqref="C59" xr:uid="{2717BC9F-6882-4F9A-BFBB-A0EF6148C3A2}">
      <formula1>$C$60:$C$63</formula1>
    </dataValidation>
  </dataValidations>
  <pageMargins left="0.7" right="0.7" top="0.75" bottom="0.75" header="0.3" footer="0.3"/>
  <pageSetup paperSize="9" orientation="portrait" horizontalDpi="300" verticalDpi="3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59245-E909-49DE-BF42-E0D778A3E6EB}">
  <sheetPr codeName="Sheet2">
    <tabColor theme="4" tint="-0.249977111117893"/>
  </sheetPr>
  <dimension ref="A1:T20"/>
  <sheetViews>
    <sheetView showGridLines="0" showRowColHeaders="0" topLeftCell="A4" zoomScaleNormal="100" workbookViewId="0">
      <selection activeCell="G17" sqref="G17"/>
    </sheetView>
  </sheetViews>
  <sheetFormatPr defaultColWidth="0" defaultRowHeight="14.5" zeroHeight="1"/>
  <cols>
    <col min="1" max="5" width="9.1796875" style="11" customWidth="1"/>
    <col min="6" max="6" width="20.7265625" style="11" customWidth="1"/>
    <col min="7" max="7" width="30" style="11" customWidth="1"/>
    <col min="8" max="9" width="9.1796875" style="11" customWidth="1"/>
    <col min="10" max="19" width="9.1796875" style="11" hidden="1" customWidth="1"/>
    <col min="20" max="20" width="18.26953125" style="11" hidden="1" customWidth="1"/>
    <col min="21" max="16384" width="9.1796875" style="11" hidden="1"/>
  </cols>
  <sheetData>
    <row r="1" spans="2:20" ht="15" thickBot="1"/>
    <row r="2" spans="2:20" ht="15" thickBot="1">
      <c r="B2" s="12"/>
      <c r="C2" s="13"/>
      <c r="D2" s="13"/>
      <c r="E2" s="13"/>
      <c r="F2" s="13"/>
      <c r="G2" s="13"/>
      <c r="H2" s="14"/>
    </row>
    <row r="3" spans="2:20" ht="19.5" customHeight="1">
      <c r="B3" s="15"/>
      <c r="C3" s="16"/>
      <c r="D3" s="16"/>
      <c r="E3" s="16"/>
      <c r="F3" s="117" t="s">
        <v>33</v>
      </c>
      <c r="G3" s="119">
        <f>'اسئلة اختبار تقبل المخاطر'!F8</f>
        <v>10</v>
      </c>
      <c r="H3" s="17"/>
    </row>
    <row r="4" spans="2:20" ht="15" thickBot="1">
      <c r="B4" s="15"/>
      <c r="C4" s="16"/>
      <c r="D4" s="16"/>
      <c r="E4" s="16"/>
      <c r="F4" s="118"/>
      <c r="G4" s="120"/>
      <c r="H4" s="17"/>
    </row>
    <row r="5" spans="2:20" ht="18.5">
      <c r="B5" s="15"/>
      <c r="C5" s="16"/>
      <c r="D5" s="16"/>
      <c r="E5" s="16"/>
      <c r="F5" s="39" t="s">
        <v>45</v>
      </c>
      <c r="G5" s="40" t="s">
        <v>46</v>
      </c>
      <c r="H5" s="17"/>
      <c r="S5" s="18"/>
      <c r="T5" s="18"/>
    </row>
    <row r="6" spans="2:20" ht="18.5">
      <c r="B6" s="15"/>
      <c r="C6" s="16"/>
      <c r="D6" s="16"/>
      <c r="E6" s="16"/>
      <c r="F6" s="41">
        <v>1</v>
      </c>
      <c r="G6" s="42">
        <f>'اسئلة اختبار تقبل المخاطر'!F9</f>
        <v>4</v>
      </c>
      <c r="H6" s="17"/>
      <c r="S6" s="18"/>
      <c r="T6" s="18"/>
    </row>
    <row r="7" spans="2:20" ht="18.5">
      <c r="B7" s="15"/>
      <c r="C7" s="16"/>
      <c r="D7" s="16"/>
      <c r="E7" s="16"/>
      <c r="F7" s="41">
        <v>2</v>
      </c>
      <c r="G7" s="42">
        <f>'اسئلة اختبار تقبل المخاطر'!F11</f>
        <v>4</v>
      </c>
      <c r="H7" s="17"/>
      <c r="S7" s="18"/>
      <c r="T7" s="18"/>
    </row>
    <row r="8" spans="2:20" ht="18.5">
      <c r="B8" s="15"/>
      <c r="C8" s="16"/>
      <c r="D8" s="16"/>
      <c r="E8" s="16"/>
      <c r="F8" s="41">
        <v>3</v>
      </c>
      <c r="G8" s="42">
        <f>'اسئلة اختبار تقبل المخاطر'!F12</f>
        <v>10</v>
      </c>
      <c r="H8" s="17"/>
      <c r="S8" s="18"/>
      <c r="T8" s="18"/>
    </row>
    <row r="9" spans="2:20" ht="18.5">
      <c r="B9" s="15"/>
      <c r="C9" s="16"/>
      <c r="D9" s="16"/>
      <c r="E9" s="16"/>
      <c r="F9" s="41">
        <v>4</v>
      </c>
      <c r="G9" s="42">
        <f>'اسئلة اختبار تقبل المخاطر'!F13</f>
        <v>10</v>
      </c>
      <c r="H9" s="17"/>
      <c r="S9" s="18"/>
      <c r="T9" s="18"/>
    </row>
    <row r="10" spans="2:20" ht="18.5">
      <c r="B10" s="15"/>
      <c r="C10" s="16"/>
      <c r="D10" s="16"/>
      <c r="E10" s="16"/>
      <c r="F10" s="41">
        <v>5</v>
      </c>
      <c r="G10" s="42">
        <f>'اسئلة اختبار تقبل المخاطر'!F14</f>
        <v>10</v>
      </c>
      <c r="H10" s="17"/>
      <c r="S10" s="18"/>
      <c r="T10" s="18"/>
    </row>
    <row r="11" spans="2:20" ht="18.5">
      <c r="B11" s="15"/>
      <c r="C11" s="16"/>
      <c r="D11" s="16"/>
      <c r="E11" s="16"/>
      <c r="F11" s="41">
        <v>6</v>
      </c>
      <c r="G11" s="42">
        <f>'اسئلة اختبار تقبل المخاطر'!F16</f>
        <v>2</v>
      </c>
      <c r="H11" s="17"/>
      <c r="S11" s="18"/>
      <c r="T11" s="18"/>
    </row>
    <row r="12" spans="2:20" ht="18.5">
      <c r="B12" s="15"/>
      <c r="C12" s="16"/>
      <c r="D12" s="16"/>
      <c r="E12" s="16"/>
      <c r="F12" s="41">
        <v>7</v>
      </c>
      <c r="G12" s="42">
        <f>'اسئلة اختبار تقبل المخاطر'!F17</f>
        <v>6</v>
      </c>
      <c r="H12" s="17"/>
      <c r="S12" s="18"/>
      <c r="T12" s="18"/>
    </row>
    <row r="13" spans="2:20" ht="18.5">
      <c r="B13" s="15"/>
      <c r="C13" s="16"/>
      <c r="D13" s="16"/>
      <c r="E13" s="16"/>
      <c r="F13" s="41">
        <v>8</v>
      </c>
      <c r="G13" s="42">
        <f>'اسئلة اختبار تقبل المخاطر'!F18</f>
        <v>2</v>
      </c>
      <c r="H13" s="17"/>
      <c r="S13" s="18"/>
      <c r="T13" s="18"/>
    </row>
    <row r="14" spans="2:20" ht="18.5">
      <c r="B14" s="15"/>
      <c r="C14" s="16"/>
      <c r="D14" s="16"/>
      <c r="E14" s="16"/>
      <c r="F14" s="41">
        <v>9</v>
      </c>
      <c r="G14" s="42">
        <f>'اسئلة اختبار تقبل المخاطر'!F19</f>
        <v>2</v>
      </c>
      <c r="H14" s="17"/>
      <c r="S14" s="18"/>
      <c r="T14" s="18"/>
    </row>
    <row r="15" spans="2:20" ht="19" thickBot="1">
      <c r="B15" s="15"/>
      <c r="C15" s="16"/>
      <c r="D15" s="16"/>
      <c r="E15" s="16"/>
      <c r="F15" s="43">
        <v>10</v>
      </c>
      <c r="G15" s="44">
        <f>'اسئلة اختبار تقبل المخاطر'!F20</f>
        <v>2</v>
      </c>
      <c r="H15" s="17"/>
      <c r="S15" s="18"/>
      <c r="T15" s="18"/>
    </row>
    <row r="16" spans="2:20" ht="38.25" customHeight="1">
      <c r="B16" s="15"/>
      <c r="C16" s="16"/>
      <c r="D16" s="16"/>
      <c r="E16" s="16"/>
      <c r="F16" s="23" t="s">
        <v>50</v>
      </c>
      <c r="G16" s="38">
        <f>'اسئلة اختبار تقبل المخاطر'!F22</f>
        <v>52</v>
      </c>
      <c r="H16" s="17"/>
    </row>
    <row r="17" spans="2:8" ht="38.25" customHeight="1" thickBot="1">
      <c r="B17" s="15"/>
      <c r="C17" s="16"/>
      <c r="D17" s="16"/>
      <c r="E17" s="16"/>
      <c r="F17" s="24" t="s">
        <v>51</v>
      </c>
      <c r="G17" s="25" t="str">
        <f>IF(G16&lt;31,"حذر بشدة",IF(G16&lt;41,"حذر",IF(G16&lt;51,"متحفظ",IF(G16&lt;61,"معتدل",IF(G16&lt;71,"مندفع باعتدال",IF(G16&lt;81,"مندفع","مندفع بشدة"))))))</f>
        <v>معتدل</v>
      </c>
      <c r="H17" s="17"/>
    </row>
    <row r="18" spans="2:8" ht="19" thickBot="1">
      <c r="B18" s="19"/>
      <c r="C18" s="20"/>
      <c r="D18" s="20"/>
      <c r="E18" s="20"/>
      <c r="F18" s="21"/>
      <c r="G18" s="20"/>
      <c r="H18" s="22"/>
    </row>
    <row r="19" spans="2:8"/>
    <row r="20" spans="2:8"/>
  </sheetData>
  <sheetProtection sheet="1" selectLockedCells="1"/>
  <mergeCells count="2">
    <mergeCell ref="F3:F4"/>
    <mergeCell ref="G3:G4"/>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DA8D-1CCE-4F90-AB77-1F5B5679C1C7}">
  <sheetPr>
    <tabColor theme="4" tint="0.59999389629810485"/>
  </sheetPr>
  <dimension ref="B1:Q19"/>
  <sheetViews>
    <sheetView tabSelected="1" zoomScale="120" zoomScaleNormal="120" workbookViewId="0">
      <selection activeCell="F4" sqref="F4"/>
    </sheetView>
  </sheetViews>
  <sheetFormatPr defaultRowHeight="14.5"/>
  <cols>
    <col min="2" max="2" width="14.26953125" bestFit="1" customWidth="1"/>
    <col min="3" max="3" width="28.6328125" bestFit="1" customWidth="1"/>
    <col min="4" max="4" width="13.1796875" bestFit="1" customWidth="1"/>
    <col min="5" max="5" width="10.7265625" bestFit="1" customWidth="1"/>
    <col min="11" max="11" width="8.7265625" customWidth="1"/>
    <col min="12" max="12" width="10.26953125" hidden="1" customWidth="1"/>
    <col min="13" max="17" width="8.7265625" hidden="1" customWidth="1"/>
    <col min="18" max="18" width="8.7265625" customWidth="1"/>
  </cols>
  <sheetData>
    <row r="1" spans="2:17" ht="52" customHeight="1" thickBot="1">
      <c r="C1" s="110" t="s">
        <v>104</v>
      </c>
      <c r="L1" t="s">
        <v>96</v>
      </c>
      <c r="M1">
        <v>1</v>
      </c>
      <c r="N1">
        <v>0.05</v>
      </c>
      <c r="O1">
        <v>0.15</v>
      </c>
      <c r="P1">
        <v>0.8</v>
      </c>
      <c r="Q1">
        <f>SUM(N1:P1)</f>
        <v>1</v>
      </c>
    </row>
    <row r="2" spans="2:17" ht="21.5" thickBot="1">
      <c r="C2" s="108" t="s">
        <v>102</v>
      </c>
      <c r="E2" s="109" t="s">
        <v>103</v>
      </c>
      <c r="L2" t="s">
        <v>97</v>
      </c>
      <c r="M2">
        <v>2</v>
      </c>
      <c r="N2">
        <v>0.1</v>
      </c>
      <c r="O2">
        <v>0.2</v>
      </c>
      <c r="P2">
        <v>0.7</v>
      </c>
      <c r="Q2">
        <f t="shared" ref="Q2:Q7" si="0">SUM(N2:P2)</f>
        <v>1</v>
      </c>
    </row>
    <row r="3" spans="2:17" ht="15" thickBot="1">
      <c r="L3" t="s">
        <v>98</v>
      </c>
      <c r="M3">
        <v>3</v>
      </c>
      <c r="N3">
        <v>0.2</v>
      </c>
      <c r="O3">
        <v>0.3</v>
      </c>
      <c r="P3">
        <v>0.5</v>
      </c>
      <c r="Q3">
        <f t="shared" si="0"/>
        <v>1</v>
      </c>
    </row>
    <row r="4" spans="2:17" ht="21">
      <c r="B4" s="61" t="s">
        <v>70</v>
      </c>
      <c r="C4" s="62" t="s">
        <v>71</v>
      </c>
      <c r="D4" s="63" t="s">
        <v>72</v>
      </c>
      <c r="E4" s="64" t="s">
        <v>73</v>
      </c>
      <c r="L4" t="s">
        <v>99</v>
      </c>
      <c r="M4">
        <v>4</v>
      </c>
      <c r="N4">
        <v>0.5</v>
      </c>
      <c r="O4">
        <v>0.3</v>
      </c>
      <c r="P4">
        <v>0.2</v>
      </c>
      <c r="Q4">
        <f t="shared" si="0"/>
        <v>1</v>
      </c>
    </row>
    <row r="5" spans="2:17" ht="21">
      <c r="B5" s="65">
        <f>C5*D5</f>
        <v>9</v>
      </c>
      <c r="C5" s="66">
        <v>10</v>
      </c>
      <c r="D5" s="67">
        <f>VLOOKUP(C$2,L:P,3,FALSE)</f>
        <v>0.9</v>
      </c>
      <c r="E5" s="94" t="s">
        <v>87</v>
      </c>
      <c r="L5" t="s">
        <v>100</v>
      </c>
      <c r="M5">
        <v>5</v>
      </c>
      <c r="N5">
        <v>0.7</v>
      </c>
      <c r="O5">
        <v>0.25</v>
      </c>
      <c r="P5">
        <v>0.05</v>
      </c>
      <c r="Q5">
        <f t="shared" si="0"/>
        <v>1</v>
      </c>
    </row>
    <row r="6" spans="2:17" ht="21">
      <c r="B6" s="65">
        <f t="shared" ref="B6:B7" si="1">C6*D6</f>
        <v>0.17</v>
      </c>
      <c r="C6" s="66">
        <v>3.4</v>
      </c>
      <c r="D6" s="67">
        <f>VLOOKUP(C$2,L:P,4,FALSE)</f>
        <v>0.05</v>
      </c>
      <c r="E6" s="94" t="s">
        <v>88</v>
      </c>
      <c r="L6" t="s">
        <v>101</v>
      </c>
      <c r="M6">
        <v>6</v>
      </c>
      <c r="N6">
        <v>0.8</v>
      </c>
      <c r="O6">
        <v>0.15</v>
      </c>
      <c r="P6">
        <v>0.05</v>
      </c>
      <c r="Q6">
        <f t="shared" si="0"/>
        <v>1</v>
      </c>
    </row>
    <row r="7" spans="2:17" ht="21">
      <c r="B7" s="65">
        <f t="shared" si="1"/>
        <v>0.1</v>
      </c>
      <c r="C7" s="66">
        <v>2</v>
      </c>
      <c r="D7" s="67">
        <f>VLOOKUP(C$2,L:P,5,FALSE)</f>
        <v>0.05</v>
      </c>
      <c r="E7" s="94" t="s">
        <v>86</v>
      </c>
      <c r="L7" t="s">
        <v>102</v>
      </c>
      <c r="M7">
        <v>7</v>
      </c>
      <c r="N7">
        <v>0.9</v>
      </c>
      <c r="O7">
        <v>0.05</v>
      </c>
      <c r="P7">
        <v>0.05</v>
      </c>
      <c r="Q7">
        <f t="shared" si="0"/>
        <v>1</v>
      </c>
    </row>
    <row r="8" spans="2:17" ht="21.5" thickBot="1">
      <c r="B8" s="69">
        <f>SUM(B5:B7)/100</f>
        <v>9.2699999999999991E-2</v>
      </c>
      <c r="C8" s="70" t="s">
        <v>74</v>
      </c>
      <c r="D8" s="71">
        <f>SUM(D5:D7)</f>
        <v>1</v>
      </c>
      <c r="E8" s="72" t="str">
        <f>IF(D8&lt;&gt;1," يجب ان يكون المجموع 100%","")</f>
        <v/>
      </c>
    </row>
    <row r="13" spans="2:17" ht="42.5" thickBot="1">
      <c r="C13" s="111" t="s">
        <v>105</v>
      </c>
      <c r="L13" t="s">
        <v>97</v>
      </c>
      <c r="M13">
        <v>1</v>
      </c>
      <c r="N13">
        <v>0</v>
      </c>
      <c r="O13">
        <v>0</v>
      </c>
      <c r="P13">
        <v>1</v>
      </c>
      <c r="Q13">
        <f>SUM(N13:P13)</f>
        <v>1</v>
      </c>
    </row>
    <row r="14" spans="2:17" ht="21.5" thickBot="1">
      <c r="C14" s="108" t="s">
        <v>102</v>
      </c>
      <c r="E14" s="109" t="s">
        <v>103</v>
      </c>
      <c r="L14" t="s">
        <v>98</v>
      </c>
      <c r="M14">
        <v>2</v>
      </c>
      <c r="N14">
        <v>0</v>
      </c>
      <c r="O14">
        <v>0.1</v>
      </c>
      <c r="P14">
        <v>0.9</v>
      </c>
      <c r="Q14">
        <f t="shared" ref="Q14:Q16" si="2">SUM(N14:P14)</f>
        <v>1</v>
      </c>
    </row>
    <row r="15" spans="2:17" ht="15" thickBot="1">
      <c r="L15" t="s">
        <v>101</v>
      </c>
      <c r="M15">
        <v>3</v>
      </c>
      <c r="N15">
        <v>0</v>
      </c>
      <c r="O15">
        <v>0.2</v>
      </c>
      <c r="P15">
        <v>0.8</v>
      </c>
      <c r="Q15">
        <f t="shared" si="2"/>
        <v>1</v>
      </c>
    </row>
    <row r="16" spans="2:17" ht="21">
      <c r="B16" s="61" t="s">
        <v>70</v>
      </c>
      <c r="C16" s="62" t="s">
        <v>71</v>
      </c>
      <c r="D16" s="63" t="s">
        <v>72</v>
      </c>
      <c r="E16" s="64" t="s">
        <v>73</v>
      </c>
      <c r="L16" t="s">
        <v>102</v>
      </c>
      <c r="M16">
        <v>4</v>
      </c>
      <c r="N16">
        <v>0</v>
      </c>
      <c r="O16">
        <v>0.3</v>
      </c>
      <c r="P16">
        <v>0.7</v>
      </c>
      <c r="Q16">
        <f t="shared" si="2"/>
        <v>1</v>
      </c>
    </row>
    <row r="17" spans="2:5" ht="21">
      <c r="B17" s="65">
        <f t="shared" ref="B17:B18" si="3">C17*D17</f>
        <v>1.02</v>
      </c>
      <c r="C17" s="66">
        <v>3.4</v>
      </c>
      <c r="D17" s="112">
        <f>VLOOKUP(C14,L13:Q16,4,FALSE)</f>
        <v>0.3</v>
      </c>
      <c r="E17" s="94" t="s">
        <v>88</v>
      </c>
    </row>
    <row r="18" spans="2:5" ht="21">
      <c r="B18" s="65">
        <f t="shared" si="3"/>
        <v>1.75</v>
      </c>
      <c r="C18" s="66">
        <v>2.5</v>
      </c>
      <c r="D18" s="112">
        <f>VLOOKUP(C14,L13:Q16,5,FALSE)</f>
        <v>0.7</v>
      </c>
      <c r="E18" s="94" t="s">
        <v>86</v>
      </c>
    </row>
    <row r="19" spans="2:5" ht="21.5" thickBot="1">
      <c r="B19" s="69">
        <f>SUM(B17:B18)/100</f>
        <v>2.7699999999999999E-2</v>
      </c>
      <c r="C19" s="70" t="s">
        <v>74</v>
      </c>
      <c r="D19" s="71">
        <f>SUM(D17:D18)</f>
        <v>1</v>
      </c>
      <c r="E19" s="72" t="str">
        <f>IF(D19&lt;&gt;1," يجب ان يكون المجموع 100%","")</f>
        <v/>
      </c>
    </row>
  </sheetData>
  <dataValidations count="2">
    <dataValidation type="list" allowBlank="1" showInputMessage="1" showErrorMessage="1" sqref="C2" xr:uid="{B26B5F8F-8BBF-4A0E-B7F8-C62BCA5E7FED}">
      <formula1>$L$1:$L$7</formula1>
    </dataValidation>
    <dataValidation type="list" allowBlank="1" showInputMessage="1" showErrorMessage="1" sqref="C14" xr:uid="{DC42B8DA-0A0D-4FD3-9EEC-DB0102403B3B}">
      <formula1>$L$13:$L$16</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D736A-8CEC-40FF-BB59-DC6A7C54FB52}">
  <sheetPr>
    <tabColor theme="9"/>
  </sheetPr>
  <dimension ref="C5:J12"/>
  <sheetViews>
    <sheetView showGridLines="0" showRowColHeaders="0" workbookViewId="0">
      <selection activeCell="F8" sqref="F8"/>
    </sheetView>
  </sheetViews>
  <sheetFormatPr defaultRowHeight="14.5"/>
  <cols>
    <col min="3" max="3" width="9.36328125" bestFit="1" customWidth="1"/>
    <col min="4" max="4" width="14.26953125" bestFit="1" customWidth="1"/>
    <col min="5" max="5" width="28.6328125" bestFit="1" customWidth="1"/>
    <col min="6" max="6" width="13.1796875" bestFit="1" customWidth="1"/>
    <col min="7" max="7" width="31.08984375" bestFit="1" customWidth="1"/>
  </cols>
  <sheetData>
    <row r="5" spans="3:10" ht="15" thickBot="1"/>
    <row r="6" spans="3:10" ht="21">
      <c r="D6" s="61" t="s">
        <v>70</v>
      </c>
      <c r="E6" s="62" t="s">
        <v>71</v>
      </c>
      <c r="F6" s="63" t="s">
        <v>72</v>
      </c>
      <c r="G6" s="64" t="s">
        <v>73</v>
      </c>
    </row>
    <row r="7" spans="3:10" ht="21">
      <c r="D7" s="65">
        <f>E7*F7</f>
        <v>2.6999999999999997</v>
      </c>
      <c r="E7" s="66">
        <v>9</v>
      </c>
      <c r="F7" s="67">
        <v>0.3</v>
      </c>
      <c r="G7" s="94" t="s">
        <v>87</v>
      </c>
    </row>
    <row r="8" spans="3:10" ht="21">
      <c r="D8" s="65">
        <f t="shared" ref="D8:D11" si="0">E8*F8</f>
        <v>0.68</v>
      </c>
      <c r="E8" s="66">
        <v>3.4</v>
      </c>
      <c r="F8" s="67">
        <v>0.2</v>
      </c>
      <c r="G8" s="94" t="s">
        <v>88</v>
      </c>
    </row>
    <row r="9" spans="3:10" ht="21">
      <c r="D9" s="65">
        <f t="shared" si="0"/>
        <v>1</v>
      </c>
      <c r="E9" s="66">
        <v>2</v>
      </c>
      <c r="F9" s="67">
        <v>0.5</v>
      </c>
      <c r="G9" s="94" t="s">
        <v>86</v>
      </c>
    </row>
    <row r="10" spans="3:10" ht="21">
      <c r="D10" s="65">
        <f t="shared" si="0"/>
        <v>0</v>
      </c>
      <c r="E10" s="66">
        <v>0</v>
      </c>
      <c r="F10" s="67">
        <v>0</v>
      </c>
      <c r="G10" s="94"/>
    </row>
    <row r="11" spans="3:10" ht="21">
      <c r="C11" s="68"/>
      <c r="D11" s="65">
        <f t="shared" si="0"/>
        <v>0</v>
      </c>
      <c r="E11" s="66"/>
      <c r="F11" s="67"/>
      <c r="G11" s="94"/>
    </row>
    <row r="12" spans="3:10" ht="21.5" thickBot="1">
      <c r="D12" s="69">
        <f>SUM(D7:D11)/100</f>
        <v>4.3799999999999999E-2</v>
      </c>
      <c r="E12" s="70" t="s">
        <v>74</v>
      </c>
      <c r="F12" s="71">
        <f>SUM(F7:F11)</f>
        <v>1</v>
      </c>
      <c r="G12" s="72" t="str">
        <f>IF(F12&lt;&gt;1," يجب ان يكون المجموع 100%","")</f>
        <v/>
      </c>
      <c r="H12" s="73"/>
      <c r="I12" s="73"/>
      <c r="J12" s="7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3297D-2783-46D1-91C6-96024CD3AE72}">
  <sheetPr>
    <tabColor rgb="FFFFFF00"/>
  </sheetPr>
  <dimension ref="E1:Q20"/>
  <sheetViews>
    <sheetView showGridLines="0" topLeftCell="D1" zoomScaleNormal="100" workbookViewId="0">
      <selection activeCell="J14" sqref="J14"/>
    </sheetView>
  </sheetViews>
  <sheetFormatPr defaultRowHeight="14.5"/>
  <cols>
    <col min="5" max="5" width="14.6328125" bestFit="1" customWidth="1"/>
    <col min="6" max="6" width="10.1796875" bestFit="1" customWidth="1"/>
    <col min="7" max="7" width="13.81640625" bestFit="1" customWidth="1"/>
    <col min="8" max="8" width="10.1796875" bestFit="1" customWidth="1"/>
    <col min="9" max="9" width="14.6328125" bestFit="1" customWidth="1"/>
    <col min="10" max="10" width="10.1796875" bestFit="1" customWidth="1"/>
    <col min="11" max="11" width="14.6328125" bestFit="1" customWidth="1"/>
    <col min="12" max="12" width="8.6328125" bestFit="1" customWidth="1"/>
    <col min="13" max="13" width="13.81640625" bestFit="1" customWidth="1"/>
    <col min="14" max="14" width="8.6328125" bestFit="1" customWidth="1"/>
    <col min="15" max="15" width="13.81640625" bestFit="1" customWidth="1"/>
    <col min="16" max="16" width="8.6328125" bestFit="1" customWidth="1"/>
    <col min="17" max="17" width="12.1796875" bestFit="1" customWidth="1"/>
  </cols>
  <sheetData>
    <row r="1" spans="5:17" ht="15" thickBot="1"/>
    <row r="2" spans="5:17" ht="21.5" customHeight="1">
      <c r="J2" s="123" t="s">
        <v>84</v>
      </c>
      <c r="K2" s="124"/>
    </row>
    <row r="3" spans="5:17" ht="15" thickBot="1">
      <c r="J3" s="125">
        <v>7.0000000000000007E-2</v>
      </c>
      <c r="K3" s="126"/>
    </row>
    <row r="4" spans="5:17" ht="15" thickBot="1"/>
    <row r="5" spans="5:17" ht="15" hidden="1" thickBot="1">
      <c r="E5" s="133">
        <v>30</v>
      </c>
      <c r="F5" s="133"/>
      <c r="G5" s="133">
        <v>25</v>
      </c>
      <c r="H5" s="133"/>
      <c r="I5" s="133">
        <v>20</v>
      </c>
      <c r="J5" s="133"/>
      <c r="K5" s="133">
        <v>15</v>
      </c>
      <c r="L5" s="133"/>
      <c r="M5" s="133">
        <v>10</v>
      </c>
      <c r="N5" s="133"/>
      <c r="O5" s="133">
        <v>5</v>
      </c>
      <c r="P5" s="133"/>
    </row>
    <row r="6" spans="5:17">
      <c r="E6" s="127" t="s">
        <v>75</v>
      </c>
      <c r="F6" s="128"/>
      <c r="G6" s="129" t="s">
        <v>76</v>
      </c>
      <c r="H6" s="130"/>
      <c r="I6" s="127" t="s">
        <v>77</v>
      </c>
      <c r="J6" s="128"/>
      <c r="K6" s="129" t="s">
        <v>78</v>
      </c>
      <c r="L6" s="130"/>
      <c r="M6" s="127" t="s">
        <v>79</v>
      </c>
      <c r="N6" s="128"/>
      <c r="O6" s="131" t="s">
        <v>80</v>
      </c>
      <c r="P6" s="132"/>
      <c r="Q6" s="121" t="s">
        <v>81</v>
      </c>
    </row>
    <row r="7" spans="5:17" ht="15" thickBot="1">
      <c r="E7" s="83" t="s">
        <v>82</v>
      </c>
      <c r="F7" s="84" t="s">
        <v>83</v>
      </c>
      <c r="G7" s="85" t="s">
        <v>82</v>
      </c>
      <c r="H7" s="86" t="s">
        <v>83</v>
      </c>
      <c r="I7" s="83" t="s">
        <v>82</v>
      </c>
      <c r="J7" s="84" t="s">
        <v>83</v>
      </c>
      <c r="K7" s="85" t="s">
        <v>82</v>
      </c>
      <c r="L7" s="86" t="s">
        <v>83</v>
      </c>
      <c r="M7" s="83" t="s">
        <v>82</v>
      </c>
      <c r="N7" s="84" t="s">
        <v>83</v>
      </c>
      <c r="O7" s="83" t="s">
        <v>82</v>
      </c>
      <c r="P7" s="84" t="s">
        <v>83</v>
      </c>
      <c r="Q7" s="122"/>
    </row>
    <row r="8" spans="5:17">
      <c r="E8" s="79">
        <f t="shared" ref="E8:E14" si="0">FV(RY/12,12*E$5,$Q8,0)*-1</f>
        <v>609985.497887971</v>
      </c>
      <c r="F8" s="81">
        <f>E$5*12*Q8</f>
        <v>180000</v>
      </c>
      <c r="G8" s="82">
        <f t="shared" ref="G8:G14" si="1">FV(RY/12,12*G$5,$Q8,0)*-1</f>
        <v>405035.84651155461</v>
      </c>
      <c r="H8" s="80">
        <f>G$5*12*Q8</f>
        <v>150000</v>
      </c>
      <c r="I8" s="79">
        <f t="shared" ref="I8:I14" si="2">FV(RY/12,12*I$5,$Q8,0)*-1</f>
        <v>260463.3299127584</v>
      </c>
      <c r="J8" s="81">
        <f>I$5*12*Q8</f>
        <v>120000</v>
      </c>
      <c r="K8" s="82">
        <f t="shared" ref="K8:K14" si="3">FV(RY/12,12*K$5,$Q8,0)*-1</f>
        <v>158481.14836065882</v>
      </c>
      <c r="L8" s="80">
        <f>K$5*12*Q8</f>
        <v>90000</v>
      </c>
      <c r="M8" s="79">
        <f t="shared" ref="M8:M14" si="4">FV(RY/12,12*M$5,$Q8,0)*-1</f>
        <v>86542.4037167684</v>
      </c>
      <c r="N8" s="81">
        <f>12*M$5*Q8</f>
        <v>60000</v>
      </c>
      <c r="O8" s="79">
        <f t="shared" ref="O8:O14" si="5">FV(RY/12,12*O$5,$Q8,0)*-1</f>
        <v>35796.450824056265</v>
      </c>
      <c r="P8" s="81">
        <f>Q8*12*O$5</f>
        <v>30000</v>
      </c>
      <c r="Q8" s="89">
        <v>500</v>
      </c>
    </row>
    <row r="9" spans="5:17">
      <c r="E9" s="79">
        <f t="shared" si="0"/>
        <v>1219970.995775942</v>
      </c>
      <c r="F9" s="75">
        <f t="shared" ref="F9:F14" si="6">E$5*12*Q9</f>
        <v>360000</v>
      </c>
      <c r="G9" s="82">
        <f t="shared" si="1"/>
        <v>810071.69302310923</v>
      </c>
      <c r="H9" s="77">
        <f t="shared" ref="H9:H14" si="7">G$5*12*Q9</f>
        <v>300000</v>
      </c>
      <c r="I9" s="79">
        <f t="shared" si="2"/>
        <v>520926.65982551681</v>
      </c>
      <c r="J9" s="75">
        <f t="shared" ref="J9:J14" si="8">I$5*12*Q9</f>
        <v>240000</v>
      </c>
      <c r="K9" s="82">
        <f t="shared" si="3"/>
        <v>316962.29672131763</v>
      </c>
      <c r="L9" s="77">
        <f t="shared" ref="L9:L14" si="9">K$5*12*Q9</f>
        <v>180000</v>
      </c>
      <c r="M9" s="79">
        <f t="shared" si="4"/>
        <v>173084.8074335368</v>
      </c>
      <c r="N9" s="75">
        <f t="shared" ref="N9:N14" si="10">12*M$5*Q9</f>
        <v>120000</v>
      </c>
      <c r="O9" s="79">
        <f t="shared" si="5"/>
        <v>71592.901648112529</v>
      </c>
      <c r="P9" s="75">
        <f t="shared" ref="P9:P14" si="11">Q9*12*O$5</f>
        <v>60000</v>
      </c>
      <c r="Q9" s="90">
        <v>1000</v>
      </c>
    </row>
    <row r="10" spans="5:17">
      <c r="E10" s="79">
        <f t="shared" si="0"/>
        <v>1829956.4936639129</v>
      </c>
      <c r="F10" s="75">
        <f t="shared" si="6"/>
        <v>540000</v>
      </c>
      <c r="G10" s="82">
        <f t="shared" si="1"/>
        <v>1215107.5395346638</v>
      </c>
      <c r="H10" s="77">
        <f t="shared" si="7"/>
        <v>450000</v>
      </c>
      <c r="I10" s="79">
        <f t="shared" si="2"/>
        <v>781389.98973827518</v>
      </c>
      <c r="J10" s="75">
        <f t="shared" si="8"/>
        <v>360000</v>
      </c>
      <c r="K10" s="82">
        <f t="shared" si="3"/>
        <v>475443.44508197642</v>
      </c>
      <c r="L10" s="77">
        <f t="shared" si="9"/>
        <v>270000</v>
      </c>
      <c r="M10" s="79">
        <f t="shared" si="4"/>
        <v>259627.2111503052</v>
      </c>
      <c r="N10" s="75">
        <f t="shared" si="10"/>
        <v>180000</v>
      </c>
      <c r="O10" s="79">
        <f t="shared" si="5"/>
        <v>107389.3524721688</v>
      </c>
      <c r="P10" s="75">
        <f t="shared" si="11"/>
        <v>90000</v>
      </c>
      <c r="Q10" s="90">
        <v>1500</v>
      </c>
    </row>
    <row r="11" spans="5:17">
      <c r="E11" s="79">
        <f t="shared" si="0"/>
        <v>2439941.991551884</v>
      </c>
      <c r="F11" s="75">
        <f t="shared" si="6"/>
        <v>720000</v>
      </c>
      <c r="G11" s="82">
        <f t="shared" si="1"/>
        <v>1620143.3860462185</v>
      </c>
      <c r="H11" s="77">
        <f t="shared" si="7"/>
        <v>600000</v>
      </c>
      <c r="I11" s="79">
        <f t="shared" si="2"/>
        <v>1041853.3196510336</v>
      </c>
      <c r="J11" s="75">
        <f t="shared" si="8"/>
        <v>480000</v>
      </c>
      <c r="K11" s="82">
        <f t="shared" si="3"/>
        <v>633924.59344263526</v>
      </c>
      <c r="L11" s="77">
        <f t="shared" si="9"/>
        <v>360000</v>
      </c>
      <c r="M11" s="79">
        <f t="shared" si="4"/>
        <v>346169.6148670736</v>
      </c>
      <c r="N11" s="75">
        <f t="shared" si="10"/>
        <v>240000</v>
      </c>
      <c r="O11" s="79">
        <f t="shared" si="5"/>
        <v>143185.80329622506</v>
      </c>
      <c r="P11" s="75">
        <f t="shared" si="11"/>
        <v>120000</v>
      </c>
      <c r="Q11" s="90">
        <v>2000</v>
      </c>
    </row>
    <row r="12" spans="5:17">
      <c r="E12" s="79">
        <f t="shared" si="0"/>
        <v>3659912.9873278257</v>
      </c>
      <c r="F12" s="75">
        <f t="shared" si="6"/>
        <v>1080000</v>
      </c>
      <c r="G12" s="82">
        <f t="shared" si="1"/>
        <v>2430215.0790693276</v>
      </c>
      <c r="H12" s="77">
        <f t="shared" si="7"/>
        <v>900000</v>
      </c>
      <c r="I12" s="79">
        <f t="shared" si="2"/>
        <v>1562779.9794765504</v>
      </c>
      <c r="J12" s="75">
        <f t="shared" si="8"/>
        <v>720000</v>
      </c>
      <c r="K12" s="82">
        <f t="shared" si="3"/>
        <v>950886.89016395283</v>
      </c>
      <c r="L12" s="77">
        <f t="shared" si="9"/>
        <v>540000</v>
      </c>
      <c r="M12" s="79">
        <f t="shared" si="4"/>
        <v>519254.4223006104</v>
      </c>
      <c r="N12" s="75">
        <f t="shared" si="10"/>
        <v>360000</v>
      </c>
      <c r="O12" s="79">
        <f t="shared" si="5"/>
        <v>214778.7049443376</v>
      </c>
      <c r="P12" s="75">
        <f t="shared" si="11"/>
        <v>180000</v>
      </c>
      <c r="Q12" s="90">
        <v>3000</v>
      </c>
    </row>
    <row r="13" spans="5:17">
      <c r="E13" s="79">
        <f t="shared" si="0"/>
        <v>4879883.983103768</v>
      </c>
      <c r="F13" s="75">
        <f t="shared" si="6"/>
        <v>1440000</v>
      </c>
      <c r="G13" s="82">
        <f t="shared" si="1"/>
        <v>3240286.7720924369</v>
      </c>
      <c r="H13" s="77">
        <f t="shared" si="7"/>
        <v>1200000</v>
      </c>
      <c r="I13" s="79">
        <f t="shared" si="2"/>
        <v>2083706.6393020672</v>
      </c>
      <c r="J13" s="75">
        <f t="shared" si="8"/>
        <v>960000</v>
      </c>
      <c r="K13" s="82">
        <f t="shared" si="3"/>
        <v>1267849.1868852705</v>
      </c>
      <c r="L13" s="77">
        <f t="shared" si="9"/>
        <v>720000</v>
      </c>
      <c r="M13" s="79">
        <f t="shared" si="4"/>
        <v>692339.2297341472</v>
      </c>
      <c r="N13" s="75">
        <f t="shared" si="10"/>
        <v>480000</v>
      </c>
      <c r="O13" s="79">
        <f t="shared" si="5"/>
        <v>286371.60659245012</v>
      </c>
      <c r="P13" s="75">
        <f t="shared" si="11"/>
        <v>240000</v>
      </c>
      <c r="Q13" s="90">
        <v>4000</v>
      </c>
    </row>
    <row r="14" spans="5:17" ht="15" thickBot="1">
      <c r="E14" s="87">
        <f t="shared" si="0"/>
        <v>6099854.9788797097</v>
      </c>
      <c r="F14" s="76">
        <f t="shared" si="6"/>
        <v>1800000</v>
      </c>
      <c r="G14" s="88">
        <f t="shared" si="1"/>
        <v>4050358.4651155462</v>
      </c>
      <c r="H14" s="78">
        <f t="shared" si="7"/>
        <v>1500000</v>
      </c>
      <c r="I14" s="87">
        <f t="shared" si="2"/>
        <v>2604633.2991275843</v>
      </c>
      <c r="J14" s="76">
        <f t="shared" si="8"/>
        <v>1200000</v>
      </c>
      <c r="K14" s="88">
        <f t="shared" si="3"/>
        <v>1584811.4836065881</v>
      </c>
      <c r="L14" s="78">
        <f t="shared" si="9"/>
        <v>900000</v>
      </c>
      <c r="M14" s="87">
        <f t="shared" si="4"/>
        <v>865424.03716768406</v>
      </c>
      <c r="N14" s="76">
        <f t="shared" si="10"/>
        <v>600000</v>
      </c>
      <c r="O14" s="87">
        <f t="shared" si="5"/>
        <v>357964.50824056263</v>
      </c>
      <c r="P14" s="76">
        <f t="shared" si="11"/>
        <v>300000</v>
      </c>
      <c r="Q14" s="91">
        <v>5000</v>
      </c>
    </row>
    <row r="20" spans="11:11">
      <c r="K20" s="74"/>
    </row>
  </sheetData>
  <sheetProtection sheet="1" objects="1" scenarios="1"/>
  <mergeCells count="15">
    <mergeCell ref="Q6:Q7"/>
    <mergeCell ref="J2:K2"/>
    <mergeCell ref="J3:K3"/>
    <mergeCell ref="E6:F6"/>
    <mergeCell ref="G6:H6"/>
    <mergeCell ref="I6:J6"/>
    <mergeCell ref="K6:L6"/>
    <mergeCell ref="M6:N6"/>
    <mergeCell ref="O6:P6"/>
    <mergeCell ref="E5:F5"/>
    <mergeCell ref="G5:H5"/>
    <mergeCell ref="I5:J5"/>
    <mergeCell ref="K5:L5"/>
    <mergeCell ref="M5:N5"/>
    <mergeCell ref="O5:P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569E8-C5B9-4D6B-AA17-51F2FA96DCDC}">
  <sheetPr>
    <tabColor rgb="FFFF0000"/>
  </sheetPr>
  <dimension ref="D1:H12"/>
  <sheetViews>
    <sheetView showGridLines="0" workbookViewId="0">
      <selection activeCell="F10" sqref="F10"/>
    </sheetView>
  </sheetViews>
  <sheetFormatPr defaultRowHeight="14.5"/>
  <cols>
    <col min="5" max="5" width="32.54296875" bestFit="1" customWidth="1"/>
    <col min="6" max="6" width="17.26953125" bestFit="1" customWidth="1"/>
  </cols>
  <sheetData>
    <row r="1" spans="4:8" ht="15.5">
      <c r="D1" s="95"/>
      <c r="E1" s="95"/>
      <c r="F1" s="95"/>
      <c r="G1" s="95"/>
    </row>
    <row r="2" spans="4:8" ht="6" customHeight="1">
      <c r="D2" s="96"/>
      <c r="E2" s="96"/>
      <c r="F2" s="96"/>
      <c r="G2" s="96"/>
    </row>
    <row r="3" spans="4:8" ht="15.5">
      <c r="D3" s="97"/>
      <c r="E3" s="98" t="s">
        <v>89</v>
      </c>
      <c r="F3" s="99">
        <v>5000</v>
      </c>
      <c r="G3" s="97"/>
      <c r="H3" s="113">
        <f>F3*12</f>
        <v>60000</v>
      </c>
    </row>
    <row r="4" spans="4:8" ht="15.5">
      <c r="D4" s="97"/>
      <c r="E4" s="98" t="s">
        <v>90</v>
      </c>
      <c r="F4" s="100">
        <v>10</v>
      </c>
      <c r="G4" s="97"/>
    </row>
    <row r="5" spans="4:8" ht="15.5">
      <c r="D5" s="97"/>
      <c r="E5" s="98" t="s">
        <v>91</v>
      </c>
      <c r="F5" s="101">
        <f>F3*12/F7</f>
        <v>1200000</v>
      </c>
      <c r="G5" s="97"/>
    </row>
    <row r="6" spans="4:8" ht="15.5">
      <c r="D6" s="97"/>
      <c r="E6" s="98" t="s">
        <v>92</v>
      </c>
      <c r="F6" s="99">
        <v>0</v>
      </c>
      <c r="G6" s="97"/>
    </row>
    <row r="7" spans="4:8" ht="15.5">
      <c r="D7" s="97"/>
      <c r="E7" s="102" t="s">
        <v>93</v>
      </c>
      <c r="F7" s="103">
        <v>0.05</v>
      </c>
      <c r="G7" s="97"/>
    </row>
    <row r="8" spans="4:8" ht="15.5">
      <c r="D8" s="97"/>
      <c r="F8" s="104"/>
      <c r="G8" s="97"/>
    </row>
    <row r="9" spans="4:8" ht="15.5">
      <c r="D9" s="97"/>
      <c r="E9" s="105"/>
      <c r="F9" s="105"/>
      <c r="G9" s="97"/>
    </row>
    <row r="10" spans="4:8" ht="15.5">
      <c r="D10" s="97"/>
      <c r="E10" s="106" t="s">
        <v>94</v>
      </c>
      <c r="F10" s="107">
        <f>PMT(F7/12,F4*12,F6*-1,F5)*-1</f>
        <v>7727.8618286890287</v>
      </c>
      <c r="G10" s="97"/>
    </row>
    <row r="11" spans="4:8" ht="15.5">
      <c r="D11" s="97"/>
      <c r="E11" s="106" t="s">
        <v>95</v>
      </c>
      <c r="F11" s="107">
        <f>F4*12*F10</f>
        <v>927343.41944268346</v>
      </c>
      <c r="G11" s="97"/>
    </row>
    <row r="12" spans="4:8" ht="15.5">
      <c r="D12" s="97"/>
      <c r="E12" s="106"/>
      <c r="F12" s="97"/>
      <c r="G12" s="9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8F30A-8D3B-4044-8433-13EEFD4D99C5}">
  <dimension ref="B4:J29"/>
  <sheetViews>
    <sheetView topLeftCell="A19" zoomScale="130" zoomScaleNormal="130" workbookViewId="0">
      <selection activeCell="J33" sqref="J33"/>
    </sheetView>
  </sheetViews>
  <sheetFormatPr defaultRowHeight="14.5"/>
  <cols>
    <col min="2" max="2" width="5.453125" bestFit="1" customWidth="1"/>
    <col min="3" max="4" width="9.6328125" bestFit="1" customWidth="1"/>
    <col min="5" max="5" width="11.54296875" customWidth="1"/>
    <col min="6" max="6" width="11.7265625" customWidth="1"/>
    <col min="7" max="7" width="11.6328125" bestFit="1" customWidth="1"/>
    <col min="8" max="8" width="12.26953125" bestFit="1" customWidth="1"/>
    <col min="9" max="9" width="10.26953125" bestFit="1" customWidth="1"/>
    <col min="10" max="10" width="8.08984375" bestFit="1" customWidth="1"/>
  </cols>
  <sheetData>
    <row r="4" spans="2:10">
      <c r="B4" t="s">
        <v>106</v>
      </c>
      <c r="C4" t="s">
        <v>107</v>
      </c>
      <c r="D4" t="s">
        <v>108</v>
      </c>
      <c r="E4" t="s">
        <v>109</v>
      </c>
      <c r="F4" t="s">
        <v>84</v>
      </c>
      <c r="G4" t="s">
        <v>110</v>
      </c>
      <c r="H4" t="s">
        <v>111</v>
      </c>
      <c r="I4" t="s">
        <v>112</v>
      </c>
      <c r="J4" t="s">
        <v>113</v>
      </c>
    </row>
    <row r="5" spans="2:10">
      <c r="B5" t="s">
        <v>114</v>
      </c>
      <c r="C5" s="114">
        <v>34779</v>
      </c>
      <c r="D5" s="114">
        <v>43908</v>
      </c>
      <c r="E5">
        <v>25</v>
      </c>
      <c r="F5">
        <v>6.86</v>
      </c>
      <c r="G5">
        <v>100</v>
      </c>
      <c r="H5" s="115">
        <f>G5*E5*12</f>
        <v>30000</v>
      </c>
      <c r="I5" s="115">
        <v>76802</v>
      </c>
      <c r="J5" s="116">
        <f>(I5-H5)/H5</f>
        <v>1.5600666666666667</v>
      </c>
    </row>
    <row r="6" spans="2:10">
      <c r="B6" t="s">
        <v>114</v>
      </c>
      <c r="C6" s="114">
        <v>36606</v>
      </c>
      <c r="D6" s="114">
        <v>43908</v>
      </c>
      <c r="E6">
        <v>20</v>
      </c>
      <c r="F6">
        <v>7.1</v>
      </c>
      <c r="G6">
        <v>100</v>
      </c>
      <c r="H6" s="115">
        <f>G6*E6*12</f>
        <v>24000</v>
      </c>
      <c r="I6" s="115">
        <v>51402</v>
      </c>
      <c r="J6" s="116">
        <f>(I6-H6)/H6</f>
        <v>1.14175</v>
      </c>
    </row>
    <row r="7" spans="2:10">
      <c r="B7" t="s">
        <v>114</v>
      </c>
      <c r="C7" s="114">
        <v>39535</v>
      </c>
      <c r="D7" s="114">
        <v>43908</v>
      </c>
      <c r="E7">
        <v>15</v>
      </c>
      <c r="F7">
        <v>7.8</v>
      </c>
      <c r="G7">
        <v>100</v>
      </c>
      <c r="H7" s="115">
        <f>G7*E7*12</f>
        <v>18000</v>
      </c>
      <c r="I7" s="115">
        <v>33218</v>
      </c>
      <c r="J7" s="116">
        <f>(I7-H7)/H7</f>
        <v>0.84544444444444444</v>
      </c>
    </row>
    <row r="8" spans="2:10">
      <c r="B8" t="s">
        <v>114</v>
      </c>
      <c r="C8" s="114">
        <v>40265</v>
      </c>
      <c r="D8" s="114">
        <v>43908</v>
      </c>
      <c r="E8">
        <v>10</v>
      </c>
      <c r="F8">
        <v>7.63</v>
      </c>
      <c r="G8">
        <v>100</v>
      </c>
      <c r="H8" s="115">
        <f>G8*E8*12</f>
        <v>12000</v>
      </c>
      <c r="I8" s="115">
        <v>17683</v>
      </c>
      <c r="J8" s="116">
        <f>(I8-H8)/H8</f>
        <v>0.47358333333333336</v>
      </c>
    </row>
    <row r="9" spans="2:10">
      <c r="B9" t="s">
        <v>114</v>
      </c>
      <c r="C9" s="114">
        <v>42082</v>
      </c>
      <c r="D9" s="114">
        <v>43908</v>
      </c>
      <c r="E9">
        <v>5</v>
      </c>
      <c r="F9">
        <v>1.21</v>
      </c>
      <c r="G9">
        <v>100</v>
      </c>
      <c r="H9" s="115">
        <f>G9*E9*12</f>
        <v>6000</v>
      </c>
      <c r="I9" s="115">
        <v>6187</v>
      </c>
      <c r="J9" s="116">
        <f>(I9-H9)/H9</f>
        <v>3.1166666666666665E-2</v>
      </c>
    </row>
    <row r="13" spans="2:10">
      <c r="B13" t="s">
        <v>106</v>
      </c>
      <c r="C13" t="s">
        <v>107</v>
      </c>
      <c r="D13" t="s">
        <v>108</v>
      </c>
      <c r="E13" t="s">
        <v>109</v>
      </c>
      <c r="F13" t="s">
        <v>84</v>
      </c>
      <c r="G13" t="s">
        <v>110</v>
      </c>
      <c r="H13" t="s">
        <v>111</v>
      </c>
      <c r="I13" t="s">
        <v>112</v>
      </c>
      <c r="J13" t="s">
        <v>113</v>
      </c>
    </row>
    <row r="14" spans="2:10">
      <c r="B14" t="s">
        <v>114</v>
      </c>
      <c r="C14" s="114">
        <v>34835</v>
      </c>
      <c r="D14" s="114">
        <v>43964</v>
      </c>
      <c r="E14">
        <v>25</v>
      </c>
      <c r="F14">
        <v>7.86</v>
      </c>
      <c r="G14">
        <v>100</v>
      </c>
      <c r="H14" s="115">
        <f>G14*E14*12</f>
        <v>30000</v>
      </c>
      <c r="I14" s="115">
        <v>89148.81</v>
      </c>
      <c r="J14" s="116">
        <f>(I14-H14)/H14</f>
        <v>1.971627</v>
      </c>
    </row>
    <row r="15" spans="2:10">
      <c r="B15" t="s">
        <v>114</v>
      </c>
      <c r="C15" s="114">
        <v>36662</v>
      </c>
      <c r="D15" s="114">
        <v>43964</v>
      </c>
      <c r="E15">
        <v>20</v>
      </c>
      <c r="F15">
        <v>8.49</v>
      </c>
      <c r="G15">
        <v>100</v>
      </c>
      <c r="H15" s="115">
        <f>G15*E15*12</f>
        <v>24000</v>
      </c>
      <c r="I15" s="115">
        <v>60295</v>
      </c>
      <c r="J15" s="116">
        <f>(I15-H15)/H15</f>
        <v>1.5122916666666666</v>
      </c>
    </row>
    <row r="16" spans="2:10">
      <c r="B16" t="s">
        <v>114</v>
      </c>
      <c r="C16" s="114">
        <v>38488</v>
      </c>
      <c r="D16" s="114">
        <v>43964</v>
      </c>
      <c r="E16">
        <v>15</v>
      </c>
      <c r="F16">
        <v>9.65</v>
      </c>
      <c r="G16">
        <v>100</v>
      </c>
      <c r="H16" s="115">
        <f>G16*E16*12</f>
        <v>18000</v>
      </c>
      <c r="I16" s="115">
        <v>38762</v>
      </c>
      <c r="J16" s="116">
        <f>(I16-H16)/H16</f>
        <v>1.1534444444444445</v>
      </c>
    </row>
    <row r="17" spans="2:10">
      <c r="B17" t="s">
        <v>114</v>
      </c>
      <c r="C17" s="114">
        <v>40312</v>
      </c>
      <c r="D17" s="114">
        <v>43964</v>
      </c>
      <c r="E17">
        <v>10</v>
      </c>
      <c r="F17">
        <v>10.47</v>
      </c>
      <c r="G17">
        <v>100</v>
      </c>
      <c r="H17" s="115">
        <f>G17*E17*12</f>
        <v>12000</v>
      </c>
      <c r="I17" s="115">
        <v>20513</v>
      </c>
      <c r="J17" s="116">
        <f>(I17-H17)/H17</f>
        <v>0.7094166666666667</v>
      </c>
    </row>
    <row r="18" spans="2:10">
      <c r="B18" t="s">
        <v>114</v>
      </c>
      <c r="C18" s="114">
        <v>42138</v>
      </c>
      <c r="D18" s="114">
        <v>43964</v>
      </c>
      <c r="E18">
        <v>5</v>
      </c>
      <c r="F18">
        <v>7.57</v>
      </c>
      <c r="G18">
        <v>100</v>
      </c>
      <c r="H18" s="115">
        <f>G18*E18*12</f>
        <v>6000</v>
      </c>
      <c r="I18" s="115">
        <v>7224.34</v>
      </c>
      <c r="J18" s="116">
        <f>(I18-H18)/H18</f>
        <v>0.20405666666666669</v>
      </c>
    </row>
    <row r="21" spans="2:10">
      <c r="B21" t="s">
        <v>106</v>
      </c>
      <c r="C21" t="s">
        <v>107</v>
      </c>
      <c r="D21" t="s">
        <v>108</v>
      </c>
      <c r="E21" t="s">
        <v>109</v>
      </c>
      <c r="F21" t="s">
        <v>84</v>
      </c>
      <c r="G21" t="s">
        <v>110</v>
      </c>
      <c r="H21" t="s">
        <v>111</v>
      </c>
      <c r="I21" t="s">
        <v>112</v>
      </c>
      <c r="J21" t="s">
        <v>113</v>
      </c>
    </row>
    <row r="22" spans="2:10">
      <c r="B22" t="s">
        <v>115</v>
      </c>
      <c r="C22" s="114">
        <v>40921</v>
      </c>
      <c r="D22" s="114">
        <v>43963</v>
      </c>
      <c r="E22">
        <v>8</v>
      </c>
      <c r="F22">
        <v>5.88</v>
      </c>
      <c r="G22">
        <v>100</v>
      </c>
      <c r="H22" s="115">
        <f>G22*E22*12</f>
        <v>9600</v>
      </c>
      <c r="I22" s="115">
        <v>12146</v>
      </c>
      <c r="J22" s="116">
        <f>(I22-H22)/H22</f>
        <v>0.26520833333333332</v>
      </c>
    </row>
    <row r="23" spans="2:10">
      <c r="B23" t="s">
        <v>115</v>
      </c>
      <c r="C23" s="114" t="s">
        <v>116</v>
      </c>
      <c r="D23" s="114">
        <v>43963</v>
      </c>
      <c r="E23">
        <v>5</v>
      </c>
      <c r="F23">
        <v>4.51</v>
      </c>
      <c r="G23">
        <v>100</v>
      </c>
      <c r="H23" s="115">
        <f>G23*E23*12</f>
        <v>6000</v>
      </c>
      <c r="I23" s="115">
        <v>6702.95</v>
      </c>
      <c r="J23" s="116">
        <f>(I23-H23)/H23</f>
        <v>0.11715833333333331</v>
      </c>
    </row>
    <row r="26" spans="2:10">
      <c r="B26" t="s">
        <v>106</v>
      </c>
      <c r="C26" t="s">
        <v>107</v>
      </c>
      <c r="D26" t="s">
        <v>108</v>
      </c>
      <c r="E26" t="s">
        <v>109</v>
      </c>
      <c r="F26" t="s">
        <v>84</v>
      </c>
      <c r="G26" t="s">
        <v>110</v>
      </c>
      <c r="H26" t="s">
        <v>111</v>
      </c>
      <c r="I26" t="s">
        <v>112</v>
      </c>
      <c r="J26" t="s">
        <v>113</v>
      </c>
    </row>
    <row r="27" spans="2:10">
      <c r="B27" t="s">
        <v>117</v>
      </c>
      <c r="C27" s="114">
        <v>38488</v>
      </c>
      <c r="D27" s="114">
        <v>43964</v>
      </c>
      <c r="E27">
        <v>15</v>
      </c>
      <c r="F27">
        <v>5.96</v>
      </c>
      <c r="G27">
        <v>100</v>
      </c>
      <c r="H27" s="115">
        <f>G27*E27*12</f>
        <v>18000</v>
      </c>
      <c r="I27" s="115">
        <v>28632</v>
      </c>
      <c r="J27" s="116">
        <f>(I27-H27)/H27</f>
        <v>0.59066666666666667</v>
      </c>
    </row>
    <row r="28" spans="2:10">
      <c r="B28" t="s">
        <v>117</v>
      </c>
      <c r="C28" s="114">
        <v>40312</v>
      </c>
      <c r="D28" s="114">
        <v>43964</v>
      </c>
      <c r="E28">
        <v>10</v>
      </c>
      <c r="F28">
        <v>4.46</v>
      </c>
      <c r="G28">
        <v>100</v>
      </c>
      <c r="H28" s="115">
        <f>G28*E28*12</f>
        <v>12000</v>
      </c>
      <c r="I28" s="115">
        <v>15023.38</v>
      </c>
      <c r="J28" s="116">
        <f>(I28-H28)/H28</f>
        <v>0.25194833333333327</v>
      </c>
    </row>
    <row r="29" spans="2:10">
      <c r="B29" t="s">
        <v>117</v>
      </c>
      <c r="C29" s="114">
        <v>42138</v>
      </c>
      <c r="D29" s="114">
        <v>43964</v>
      </c>
      <c r="E29">
        <v>5</v>
      </c>
      <c r="F29">
        <v>11.38</v>
      </c>
      <c r="G29">
        <v>100</v>
      </c>
      <c r="H29" s="115">
        <f>G29*E29*12</f>
        <v>6000</v>
      </c>
      <c r="I29" s="115">
        <v>7924</v>
      </c>
      <c r="J29" s="116">
        <f>(I29-H29)/H29</f>
        <v>0.32066666666666666</v>
      </c>
    </row>
  </sheetData>
  <pageMargins left="0.7" right="0.7" top="0.75" bottom="0.75" header="0.3" footer="0.3"/>
  <pageSetup paperSize="9"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تنبيه</vt:lpstr>
      <vt:lpstr>اسئلة اختبار تقبل المخاطر</vt:lpstr>
      <vt:lpstr>قدرتك على تحمل المخاطر</vt:lpstr>
      <vt:lpstr>توزيع المحفظة المقترح</vt:lpstr>
      <vt:lpstr>العائد المتوقع للمحفظة</vt:lpstr>
      <vt:lpstr>نتائج الاستثمار الشهري</vt:lpstr>
      <vt:lpstr>تمرين الحرية المالية</vt:lpstr>
      <vt:lpstr>ETF</vt:lpstr>
      <vt:lpstr>Rate</vt:lpstr>
      <vt:lpstr>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Asem Alruhaily</cp:lastModifiedBy>
  <dcterms:created xsi:type="dcterms:W3CDTF">2020-04-09T14:11:08Z</dcterms:created>
  <dcterms:modified xsi:type="dcterms:W3CDTF">2021-01-06T15:41:32Z</dcterms:modified>
</cp:coreProperties>
</file>